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tables/table10.xml" ContentType="application/vnd.openxmlformats-officedocument.spreadsheetml.table+xml"/>
  <Override PartName="/xl/comments2.xml" ContentType="application/vnd.openxmlformats-officedocument.spreadsheetml.comments+xml"/>
  <Override PartName="/xl/tables/table11.xml" ContentType="application/vnd.openxmlformats-officedocument.spreadsheetml.table+xml"/>
  <Override PartName="/xl/comments3.xml" ContentType="application/vnd.openxmlformats-officedocument.spreadsheetml.comments+xml"/>
  <Override PartName="/xl/tables/table12.xml" ContentType="application/vnd.openxmlformats-officedocument.spreadsheetml.table+xml"/>
  <Override PartName="/xl/comments4.xml" ContentType="application/vnd.openxmlformats-officedocument.spreadsheetml.comments+xml"/>
  <Override PartName="/xl/tables/table13.xml" ContentType="application/vnd.openxmlformats-officedocument.spreadsheetml.table+xml"/>
  <Override PartName="/xl/comments5.xml" ContentType="application/vnd.openxmlformats-officedocument.spreadsheetml.comments+xml"/>
  <Override PartName="/xl/tables/table14.xml" ContentType="application/vnd.openxmlformats-officedocument.spreadsheetml.table+xml"/>
  <Override PartName="/xl/comments6.xml" ContentType="application/vnd.openxmlformats-officedocument.spreadsheetml.comments+xml"/>
  <Override PartName="/xl/tables/table15.xml" ContentType="application/vnd.openxmlformats-officedocument.spreadsheetml.table+xml"/>
  <Override PartName="/xl/comments7.xml" ContentType="application/vnd.openxmlformats-officedocument.spreadsheetml.comments+xml"/>
  <Override PartName="/xl/tables/table16.xml" ContentType="application/vnd.openxmlformats-officedocument.spreadsheetml.table+xml"/>
  <Override PartName="/xl/comments8.xml" ContentType="application/vnd.openxmlformats-officedocument.spreadsheetml.comments+xml"/>
  <Override PartName="/xl/tables/table17.xml" ContentType="application/vnd.openxmlformats-officedocument.spreadsheetml.table+xml"/>
  <Override PartName="/xl/comments9.xml" ContentType="application/vnd.openxmlformats-officedocument.spreadsheetml.comments+xml"/>
  <Override PartName="/xl/tables/table18.xml" ContentType="application/vnd.openxmlformats-officedocument.spreadsheetml.table+xml"/>
  <Override PartName="/xl/comments10.xml" ContentType="application/vnd.openxmlformats-officedocument.spreadsheetml.comments+xml"/>
  <Override PartName="/xl/tables/table19.xml" ContentType="application/vnd.openxmlformats-officedocument.spreadsheetml.table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30CE44A-7F3E-4136-A616-48D2859E0687}" xr6:coauthVersionLast="47" xr6:coauthVersionMax="47" xr10:uidLastSave="{00000000-0000-0000-0000-000000000000}"/>
  <bookViews>
    <workbookView xWindow="-120" yWindow="-120" windowWidth="29040" windowHeight="15840" tabRatio="734" activeTab="1" xr2:uid="{00000000-000D-0000-FFFF-FFFF00000000}"/>
  </bookViews>
  <sheets>
    <sheet name="lista_startowa" sheetId="4" r:id="rId1"/>
    <sheet name="T1T2T3" sheetId="1" r:id="rId2"/>
    <sheet name="TSport" sheetId="15" r:id="rId3"/>
    <sheet name="Delphia 24" sheetId="13" r:id="rId4"/>
    <sheet name="T1" sheetId="5" r:id="rId5"/>
    <sheet name="T2" sheetId="10" r:id="rId6"/>
    <sheet name="T3" sheetId="11" r:id="rId7"/>
    <sheet name="T-Sport" sheetId="14" r:id="rId8"/>
    <sheet name="Open 6.3" sheetId="12" r:id="rId9"/>
    <sheet name="rezerwa 1" sheetId="17" r:id="rId10"/>
    <sheet name="rezerwa 2" sheetId="18" r:id="rId11"/>
    <sheet name="rezerwa 3" sheetId="19" r:id="rId12"/>
  </sheets>
  <definedNames>
    <definedName name="_xlnm._FilterDatabase" localSheetId="0" hidden="1">lista_startowa!$B$6:$F$24</definedName>
    <definedName name="_xlnm.Print_Area" localSheetId="3">'Delphia 24'!$B$1:$P$13</definedName>
    <definedName name="_xlnm.Print_Area" localSheetId="0">lista_startowa!$B$5:$G$37,lista_startowa!$B$38:$F$95</definedName>
    <definedName name="_xlnm.Print_Area" localSheetId="8">'Open 6.3'!$B$1:$P$12</definedName>
    <definedName name="_xlnm.Print_Area" localSheetId="9">'rezerwa 1'!$B$1:$P$15</definedName>
    <definedName name="_xlnm.Print_Area" localSheetId="10">'rezerwa 2'!$B$1:$P$13</definedName>
    <definedName name="_xlnm.Print_Area" localSheetId="11">'rezerwa 3'!$B$1:$P$11</definedName>
    <definedName name="_xlnm.Print_Area" localSheetId="4">'T1'!$B$1:$P$12</definedName>
    <definedName name="_xlnm.Print_Area" localSheetId="1">T1T2T3!$B$1:$AI$28</definedName>
    <definedName name="_xlnm.Print_Area" localSheetId="5">'T2'!$B$1:$P$19</definedName>
    <definedName name="_xlnm.Print_Area" localSheetId="6">'T3'!$B$1:$P$17</definedName>
    <definedName name="_xlnm.Print_Area" localSheetId="2">TSport!$B$1:$AI$15</definedName>
    <definedName name="_xlnm.Print_Area" localSheetId="7">'T-Sport'!$B$1:$P$15</definedName>
    <definedName name="_xlnm.Print_Titles" localSheetId="3">'Delphia 24'!$1:$6</definedName>
    <definedName name="_xlnm.Print_Titles" localSheetId="0">lista_startowa!$1:$4</definedName>
    <definedName name="_xlnm.Print_Titles" localSheetId="8">'Open 6.3'!$1:$6</definedName>
    <definedName name="_xlnm.Print_Titles" localSheetId="9">'rezerwa 1'!$1:$6</definedName>
    <definedName name="_xlnm.Print_Titles" localSheetId="10">'rezerwa 2'!$1:$6</definedName>
    <definedName name="_xlnm.Print_Titles" localSheetId="11">'rezerwa 3'!$1:$6</definedName>
    <definedName name="_xlnm.Print_Titles" localSheetId="4">'T1'!$1:$6</definedName>
    <definedName name="_xlnm.Print_Titles" localSheetId="1">T1T2T3!$1:$6</definedName>
    <definedName name="_xlnm.Print_Titles" localSheetId="5">'T2'!$1:$6</definedName>
    <definedName name="_xlnm.Print_Titles" localSheetId="6">'T3'!$1:$6</definedName>
    <definedName name="_xlnm.Print_Titles" localSheetId="2">TSport!$1:$6</definedName>
    <definedName name="_xlnm.Print_Titles" localSheetId="7">'T-Sport'!$1:$6</definedName>
  </definedNames>
  <calcPr calcId="181029"/>
</workbook>
</file>

<file path=xl/calcChain.xml><?xml version="1.0" encoding="utf-8"?>
<calcChain xmlns="http://schemas.openxmlformats.org/spreadsheetml/2006/main">
  <c r="AI18" i="1" l="1"/>
  <c r="C10" i="14"/>
  <c r="D10" i="14"/>
  <c r="E10" i="14"/>
  <c r="F10" i="14"/>
  <c r="G24" i="1"/>
  <c r="C11" i="1"/>
  <c r="D11" i="1"/>
  <c r="E11" i="1"/>
  <c r="F11" i="1"/>
  <c r="G11" i="1"/>
  <c r="C23" i="1"/>
  <c r="D23" i="1"/>
  <c r="E23" i="1"/>
  <c r="F23" i="1"/>
  <c r="G23" i="1"/>
  <c r="AD11" i="1"/>
  <c r="AE11" i="1" s="1"/>
  <c r="AG11" i="1"/>
  <c r="AH11" i="1" s="1"/>
  <c r="AD23" i="1"/>
  <c r="AE23" i="1" s="1"/>
  <c r="AG23" i="1"/>
  <c r="AH23" i="1" s="1"/>
  <c r="C12" i="1"/>
  <c r="D12" i="1"/>
  <c r="E12" i="1"/>
  <c r="F12" i="1"/>
  <c r="G12" i="1"/>
  <c r="C13" i="1"/>
  <c r="D13" i="1"/>
  <c r="E13" i="1"/>
  <c r="F13" i="1"/>
  <c r="G13" i="1"/>
  <c r="C18" i="1"/>
  <c r="D18" i="1"/>
  <c r="E18" i="1"/>
  <c r="F18" i="1"/>
  <c r="G18" i="1"/>
  <c r="C17" i="1"/>
  <c r="D17" i="1"/>
  <c r="E17" i="1"/>
  <c r="F17" i="1"/>
  <c r="G17" i="1"/>
  <c r="AD17" i="1"/>
  <c r="AE17" i="1" s="1"/>
  <c r="AG17" i="1"/>
  <c r="AH17" i="1" s="1"/>
  <c r="C22" i="1"/>
  <c r="D22" i="1"/>
  <c r="E22" i="1"/>
  <c r="F22" i="1"/>
  <c r="G22" i="1"/>
  <c r="AD22" i="1"/>
  <c r="AE22" i="1" s="1"/>
  <c r="AG22" i="1"/>
  <c r="AH22" i="1" s="1"/>
  <c r="C14" i="1"/>
  <c r="D14" i="1"/>
  <c r="E14" i="1"/>
  <c r="F14" i="1"/>
  <c r="G14" i="1"/>
  <c r="C9" i="15"/>
  <c r="D9" i="15"/>
  <c r="E9" i="15"/>
  <c r="F9" i="15"/>
  <c r="AD9" i="15"/>
  <c r="AE9" i="15" s="1"/>
  <c r="AG9" i="15"/>
  <c r="AH9" i="15" s="1"/>
  <c r="F11" i="19"/>
  <c r="E10" i="19"/>
  <c r="B9" i="19" s="1"/>
  <c r="F9" i="19"/>
  <c r="F7" i="19"/>
  <c r="E7" i="19"/>
  <c r="D7" i="19"/>
  <c r="C7" i="19"/>
  <c r="B7" i="19"/>
  <c r="D4" i="19"/>
  <c r="B4" i="19"/>
  <c r="B2" i="19"/>
  <c r="B1" i="19"/>
  <c r="F13" i="18"/>
  <c r="E12" i="18"/>
  <c r="B11" i="18" s="1"/>
  <c r="F11" i="18"/>
  <c r="P9" i="18"/>
  <c r="F9" i="18"/>
  <c r="E9" i="18"/>
  <c r="D9" i="18"/>
  <c r="C9" i="18"/>
  <c r="P7" i="18"/>
  <c r="F7" i="18"/>
  <c r="E7" i="18"/>
  <c r="D7" i="18"/>
  <c r="C7" i="18"/>
  <c r="P8" i="18"/>
  <c r="F8" i="18"/>
  <c r="E8" i="18"/>
  <c r="D8" i="18"/>
  <c r="C8" i="18"/>
  <c r="D4" i="18"/>
  <c r="B4" i="18"/>
  <c r="B2" i="18"/>
  <c r="B1" i="18"/>
  <c r="F15" i="17"/>
  <c r="E14" i="17"/>
  <c r="B13" i="17" s="1"/>
  <c r="F13" i="17"/>
  <c r="P11" i="17"/>
  <c r="F11" i="17"/>
  <c r="E11" i="17"/>
  <c r="D11" i="17"/>
  <c r="C11" i="17"/>
  <c r="P10" i="17"/>
  <c r="F10" i="17"/>
  <c r="E10" i="17"/>
  <c r="D10" i="17"/>
  <c r="C10" i="17"/>
  <c r="P9" i="17"/>
  <c r="F9" i="17"/>
  <c r="E9" i="17"/>
  <c r="D9" i="17"/>
  <c r="C9" i="17"/>
  <c r="P8" i="17"/>
  <c r="F8" i="17"/>
  <c r="E8" i="17"/>
  <c r="D8" i="17"/>
  <c r="C8" i="17"/>
  <c r="P7" i="17"/>
  <c r="F7" i="17"/>
  <c r="E7" i="17"/>
  <c r="D7" i="17"/>
  <c r="C7" i="17"/>
  <c r="B7" i="17"/>
  <c r="B8" i="17" s="1"/>
  <c r="B9" i="17" s="1"/>
  <c r="B10" i="17" s="1"/>
  <c r="B11" i="17" s="1"/>
  <c r="D4" i="17"/>
  <c r="B4" i="17"/>
  <c r="B2" i="17"/>
  <c r="B1" i="17"/>
  <c r="F28" i="1"/>
  <c r="B88" i="4"/>
  <c r="B89" i="4" s="1"/>
  <c r="B90" i="4" s="1"/>
  <c r="B80" i="4"/>
  <c r="R7" i="17" s="1"/>
  <c r="B73" i="4"/>
  <c r="B74" i="4" s="1"/>
  <c r="B61" i="4"/>
  <c r="B62" i="4" s="1"/>
  <c r="B63" i="4" s="1"/>
  <c r="B64" i="4" s="1"/>
  <c r="B65" i="4" s="1"/>
  <c r="B66" i="4" s="1"/>
  <c r="B67" i="4" s="1"/>
  <c r="B47" i="4"/>
  <c r="B48" i="4" s="1"/>
  <c r="B49" i="4" s="1"/>
  <c r="B50" i="4" s="1"/>
  <c r="B51" i="4" s="1"/>
  <c r="B52" i="4" s="1"/>
  <c r="B53" i="4" s="1"/>
  <c r="B54" i="4" s="1"/>
  <c r="B40" i="4"/>
  <c r="B41" i="4" s="1"/>
  <c r="B30" i="4"/>
  <c r="B31" i="4" s="1"/>
  <c r="B32" i="4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C9" i="14"/>
  <c r="D9" i="14"/>
  <c r="E9" i="14"/>
  <c r="F9" i="14"/>
  <c r="C8" i="14"/>
  <c r="D8" i="14"/>
  <c r="E8" i="14"/>
  <c r="F8" i="14"/>
  <c r="C11" i="14"/>
  <c r="D11" i="14"/>
  <c r="E11" i="14"/>
  <c r="F11" i="14"/>
  <c r="F7" i="14"/>
  <c r="E7" i="14"/>
  <c r="D7" i="14"/>
  <c r="C9" i="13"/>
  <c r="D9" i="13"/>
  <c r="E9" i="13"/>
  <c r="F9" i="13"/>
  <c r="C8" i="13"/>
  <c r="D8" i="13"/>
  <c r="E8" i="13"/>
  <c r="F8" i="13"/>
  <c r="F7" i="13"/>
  <c r="E7" i="13"/>
  <c r="D7" i="13"/>
  <c r="C7" i="13"/>
  <c r="C8" i="12"/>
  <c r="D8" i="12"/>
  <c r="E8" i="12"/>
  <c r="F8" i="12"/>
  <c r="B4" i="14"/>
  <c r="B4" i="13"/>
  <c r="B4" i="12"/>
  <c r="B4" i="5"/>
  <c r="E4" i="15"/>
  <c r="B4" i="15"/>
  <c r="B4" i="1"/>
  <c r="D4" i="11"/>
  <c r="B4" i="10"/>
  <c r="B4" i="11"/>
  <c r="C13" i="11"/>
  <c r="D13" i="11"/>
  <c r="E13" i="11"/>
  <c r="F13" i="11"/>
  <c r="C8" i="11"/>
  <c r="D8" i="11"/>
  <c r="E8" i="11"/>
  <c r="F8" i="11"/>
  <c r="C10" i="11"/>
  <c r="D10" i="11"/>
  <c r="E10" i="11"/>
  <c r="F10" i="11"/>
  <c r="C7" i="11"/>
  <c r="D7" i="11"/>
  <c r="E7" i="11"/>
  <c r="F7" i="11"/>
  <c r="C9" i="11"/>
  <c r="D9" i="11"/>
  <c r="E9" i="11"/>
  <c r="F9" i="11"/>
  <c r="C11" i="11"/>
  <c r="D11" i="11"/>
  <c r="E11" i="11"/>
  <c r="F11" i="11"/>
  <c r="F12" i="11"/>
  <c r="E12" i="11"/>
  <c r="D12" i="11"/>
  <c r="C12" i="11"/>
  <c r="C12" i="10"/>
  <c r="D12" i="10"/>
  <c r="E12" i="10"/>
  <c r="F12" i="10"/>
  <c r="C7" i="10"/>
  <c r="D7" i="10"/>
  <c r="E7" i="10"/>
  <c r="F7" i="10"/>
  <c r="C8" i="10"/>
  <c r="D8" i="10"/>
  <c r="E8" i="10"/>
  <c r="F8" i="10"/>
  <c r="C10" i="10"/>
  <c r="D10" i="10"/>
  <c r="E10" i="10"/>
  <c r="F10" i="10"/>
  <c r="C11" i="10"/>
  <c r="D11" i="10"/>
  <c r="E11" i="10"/>
  <c r="F11" i="10"/>
  <c r="D14" i="10"/>
  <c r="C9" i="10"/>
  <c r="D9" i="10"/>
  <c r="E9" i="10"/>
  <c r="F9" i="10"/>
  <c r="C13" i="10"/>
  <c r="D13" i="10"/>
  <c r="E13" i="10"/>
  <c r="F13" i="10"/>
  <c r="F15" i="10"/>
  <c r="E15" i="10"/>
  <c r="D15" i="10"/>
  <c r="C15" i="10"/>
  <c r="F8" i="5"/>
  <c r="E8" i="5"/>
  <c r="D8" i="5"/>
  <c r="C8" i="5"/>
  <c r="F7" i="5"/>
  <c r="E7" i="5"/>
  <c r="D7" i="5"/>
  <c r="C7" i="5"/>
  <c r="D8" i="15"/>
  <c r="E8" i="15"/>
  <c r="F8" i="15"/>
  <c r="G8" i="15"/>
  <c r="D10" i="15"/>
  <c r="E10" i="15"/>
  <c r="F10" i="15"/>
  <c r="G10" i="15"/>
  <c r="R10" i="15" s="1"/>
  <c r="D11" i="15"/>
  <c r="E11" i="15"/>
  <c r="F11" i="15"/>
  <c r="G11" i="15"/>
  <c r="C8" i="15"/>
  <c r="C10" i="15"/>
  <c r="C11" i="15"/>
  <c r="G7" i="15"/>
  <c r="L7" i="15" s="1"/>
  <c r="F7" i="15"/>
  <c r="E7" i="15"/>
  <c r="D7" i="15"/>
  <c r="C7" i="15"/>
  <c r="B3" i="15"/>
  <c r="F15" i="14"/>
  <c r="E14" i="14"/>
  <c r="P10" i="14" s="1"/>
  <c r="F13" i="14"/>
  <c r="D4" i="14"/>
  <c r="B3" i="14"/>
  <c r="B2" i="14"/>
  <c r="B1" i="14"/>
  <c r="F13" i="13"/>
  <c r="E12" i="13"/>
  <c r="F11" i="13"/>
  <c r="D4" i="13"/>
  <c r="B3" i="13"/>
  <c r="B2" i="13"/>
  <c r="B1" i="13"/>
  <c r="F12" i="12"/>
  <c r="E11" i="12"/>
  <c r="F10" i="12"/>
  <c r="D4" i="12"/>
  <c r="B3" i="12"/>
  <c r="B2" i="12"/>
  <c r="B1" i="12"/>
  <c r="F17" i="11"/>
  <c r="E16" i="11"/>
  <c r="F15" i="11"/>
  <c r="B3" i="11"/>
  <c r="B2" i="11"/>
  <c r="B1" i="11"/>
  <c r="F19" i="10"/>
  <c r="E18" i="10"/>
  <c r="F17" i="10"/>
  <c r="D4" i="10"/>
  <c r="B3" i="10"/>
  <c r="B2" i="10"/>
  <c r="B1" i="10"/>
  <c r="F12" i="5"/>
  <c r="E11" i="5"/>
  <c r="F10" i="5"/>
  <c r="D4" i="5"/>
  <c r="B3" i="5"/>
  <c r="B2" i="5"/>
  <c r="B1" i="5"/>
  <c r="F15" i="15"/>
  <c r="F13" i="15"/>
  <c r="AG11" i="15"/>
  <c r="AH11" i="15" s="1"/>
  <c r="AD11" i="15"/>
  <c r="AG10" i="15"/>
  <c r="AH10" i="15" s="1"/>
  <c r="AD10" i="15"/>
  <c r="AG8" i="15"/>
  <c r="AH8" i="15" s="1"/>
  <c r="AD8" i="15"/>
  <c r="O8" i="15"/>
  <c r="AG7" i="15"/>
  <c r="AH7" i="15" s="1"/>
  <c r="AD7" i="15"/>
  <c r="AE7" i="15" s="1"/>
  <c r="X7" i="15"/>
  <c r="B2" i="15"/>
  <c r="B1" i="15"/>
  <c r="F26" i="1"/>
  <c r="AG14" i="1"/>
  <c r="AH14" i="1" s="1"/>
  <c r="AG10" i="1"/>
  <c r="AH10" i="1" s="1"/>
  <c r="AD10" i="1"/>
  <c r="G10" i="1"/>
  <c r="F10" i="1"/>
  <c r="E10" i="1"/>
  <c r="D10" i="1"/>
  <c r="C10" i="1"/>
  <c r="AG19" i="1"/>
  <c r="AH19" i="1" s="1"/>
  <c r="AD19" i="1"/>
  <c r="G19" i="1"/>
  <c r="AA19" i="1" s="1"/>
  <c r="F19" i="1"/>
  <c r="E19" i="1"/>
  <c r="D19" i="1"/>
  <c r="C19" i="1"/>
  <c r="AG18" i="1"/>
  <c r="AH18" i="1" s="1"/>
  <c r="AD18" i="1"/>
  <c r="AG13" i="1"/>
  <c r="AH13" i="1" s="1"/>
  <c r="AG12" i="1"/>
  <c r="AH12" i="1" s="1"/>
  <c r="AG9" i="1"/>
  <c r="AH9" i="1" s="1"/>
  <c r="G9" i="1"/>
  <c r="F9" i="1"/>
  <c r="E9" i="1"/>
  <c r="D9" i="1"/>
  <c r="C9" i="1"/>
  <c r="AG7" i="1"/>
  <c r="AH7" i="1" s="1"/>
  <c r="G7" i="1"/>
  <c r="AA17" i="1" s="1"/>
  <c r="E7" i="1"/>
  <c r="D7" i="1"/>
  <c r="C7" i="1"/>
  <c r="AG16" i="1"/>
  <c r="AH16" i="1" s="1"/>
  <c r="AD16" i="1"/>
  <c r="AE16" i="1" s="1"/>
  <c r="G16" i="1"/>
  <c r="F16" i="1"/>
  <c r="E16" i="1"/>
  <c r="D16" i="1"/>
  <c r="C16" i="1"/>
  <c r="AG24" i="1"/>
  <c r="AH24" i="1" s="1"/>
  <c r="AD24" i="1"/>
  <c r="AE24" i="1" s="1"/>
  <c r="F24" i="1"/>
  <c r="E24" i="1"/>
  <c r="D24" i="1"/>
  <c r="C24" i="1"/>
  <c r="AG15" i="1"/>
  <c r="AH15" i="1" s="1"/>
  <c r="G15" i="1"/>
  <c r="F15" i="1"/>
  <c r="E15" i="1"/>
  <c r="D15" i="1"/>
  <c r="C15" i="1"/>
  <c r="AG8" i="1"/>
  <c r="AH8" i="1" s="1"/>
  <c r="AD8" i="1"/>
  <c r="AE8" i="1" s="1"/>
  <c r="G8" i="1"/>
  <c r="F8" i="1"/>
  <c r="E8" i="1"/>
  <c r="D8" i="1"/>
  <c r="C8" i="1"/>
  <c r="AG20" i="1"/>
  <c r="AH20" i="1" s="1"/>
  <c r="AD20" i="1"/>
  <c r="AE20" i="1" s="1"/>
  <c r="G20" i="1"/>
  <c r="F20" i="1"/>
  <c r="E20" i="1"/>
  <c r="D20" i="1"/>
  <c r="C20" i="1"/>
  <c r="AG21" i="1"/>
  <c r="AH21" i="1" s="1"/>
  <c r="AD21" i="1"/>
  <c r="AE21" i="1" s="1"/>
  <c r="G21" i="1"/>
  <c r="AA21" i="1" s="1"/>
  <c r="F21" i="1"/>
  <c r="E21" i="1"/>
  <c r="D21" i="1"/>
  <c r="C21" i="1"/>
  <c r="B3" i="1"/>
  <c r="B2" i="1"/>
  <c r="B1" i="1"/>
  <c r="E86" i="4"/>
  <c r="F85" i="4"/>
  <c r="F84" i="4"/>
  <c r="E78" i="4"/>
  <c r="F77" i="4"/>
  <c r="F76" i="4"/>
  <c r="E71" i="4"/>
  <c r="F70" i="4"/>
  <c r="F69" i="4"/>
  <c r="E59" i="4"/>
  <c r="F58" i="4"/>
  <c r="F57" i="4"/>
  <c r="E45" i="4"/>
  <c r="F44" i="4"/>
  <c r="F95" i="4" s="1"/>
  <c r="F43" i="4"/>
  <c r="F94" i="4" s="1"/>
  <c r="E38" i="4"/>
  <c r="F37" i="4"/>
  <c r="F36" i="4"/>
  <c r="F28" i="4"/>
  <c r="F5" i="4"/>
  <c r="AA10" i="15" l="1"/>
  <c r="AA24" i="1"/>
  <c r="AA18" i="1"/>
  <c r="AA10" i="1"/>
  <c r="AA11" i="1"/>
  <c r="AA20" i="1"/>
  <c r="X16" i="1"/>
  <c r="AA16" i="1"/>
  <c r="AA23" i="1"/>
  <c r="AA22" i="1"/>
  <c r="AA8" i="1"/>
  <c r="AA7" i="15"/>
  <c r="X10" i="15"/>
  <c r="AA11" i="15"/>
  <c r="AA8" i="15"/>
  <c r="AA9" i="15"/>
  <c r="AB7" i="15" s="1"/>
  <c r="U11" i="1"/>
  <c r="X22" i="1"/>
  <c r="X11" i="1"/>
  <c r="U19" i="1"/>
  <c r="X19" i="1"/>
  <c r="X17" i="1"/>
  <c r="X23" i="1"/>
  <c r="U20" i="1"/>
  <c r="O10" i="15"/>
  <c r="X8" i="15"/>
  <c r="X11" i="15"/>
  <c r="Y11" i="15" s="1"/>
  <c r="X9" i="15"/>
  <c r="U11" i="15"/>
  <c r="O9" i="15"/>
  <c r="R11" i="1"/>
  <c r="U23" i="1"/>
  <c r="R19" i="1"/>
  <c r="R23" i="1"/>
  <c r="U22" i="1"/>
  <c r="R22" i="1"/>
  <c r="R17" i="1"/>
  <c r="U17" i="1"/>
  <c r="U10" i="15"/>
  <c r="I11" i="15"/>
  <c r="R8" i="15"/>
  <c r="U8" i="15"/>
  <c r="U9" i="15"/>
  <c r="O7" i="15"/>
  <c r="R7" i="15"/>
  <c r="U7" i="15"/>
  <c r="R9" i="15"/>
  <c r="L10" i="15"/>
  <c r="O11" i="15"/>
  <c r="R11" i="15"/>
  <c r="L17" i="1"/>
  <c r="L22" i="1"/>
  <c r="L11" i="1"/>
  <c r="L8" i="1"/>
  <c r="L13" i="1"/>
  <c r="L23" i="1"/>
  <c r="O17" i="1"/>
  <c r="L18" i="1"/>
  <c r="O18" i="1"/>
  <c r="I22" i="1"/>
  <c r="L19" i="1"/>
  <c r="L21" i="1"/>
  <c r="L24" i="1"/>
  <c r="O19" i="1"/>
  <c r="O22" i="1"/>
  <c r="O21" i="1"/>
  <c r="I18" i="1"/>
  <c r="O24" i="1"/>
  <c r="O23" i="1"/>
  <c r="O11" i="1"/>
  <c r="I9" i="15"/>
  <c r="I10" i="15"/>
  <c r="L8" i="15"/>
  <c r="L9" i="15"/>
  <c r="L11" i="15"/>
  <c r="I7" i="15"/>
  <c r="I8" i="15"/>
  <c r="I23" i="1"/>
  <c r="I17" i="1"/>
  <c r="I11" i="1"/>
  <c r="I24" i="1"/>
  <c r="P7" i="19"/>
  <c r="B91" i="4"/>
  <c r="AK9" i="15"/>
  <c r="B33" i="4"/>
  <c r="B34" i="4" s="1"/>
  <c r="R7" i="18"/>
  <c r="B81" i="4"/>
  <c r="R9" i="13" s="1"/>
  <c r="AD15" i="1"/>
  <c r="AE15" i="1" s="1"/>
  <c r="AA15" i="1"/>
  <c r="AD7" i="1"/>
  <c r="AE7" i="1" s="1"/>
  <c r="AA7" i="1"/>
  <c r="AD9" i="1"/>
  <c r="AA9" i="1"/>
  <c r="AD12" i="1"/>
  <c r="AA12" i="1"/>
  <c r="AD13" i="1"/>
  <c r="AA13" i="1"/>
  <c r="AD14" i="1"/>
  <c r="AA14" i="1"/>
  <c r="AE11" i="15"/>
  <c r="AE8" i="15"/>
  <c r="AE10" i="15"/>
  <c r="X21" i="1"/>
  <c r="U21" i="1"/>
  <c r="R21" i="1"/>
  <c r="X20" i="1"/>
  <c r="R20" i="1"/>
  <c r="X8" i="1"/>
  <c r="U8" i="1"/>
  <c r="R8" i="1"/>
  <c r="X15" i="1"/>
  <c r="U15" i="1"/>
  <c r="R15" i="1"/>
  <c r="X24" i="1"/>
  <c r="U24" i="1"/>
  <c r="R24" i="1"/>
  <c r="U16" i="1"/>
  <c r="R16" i="1"/>
  <c r="X7" i="1"/>
  <c r="U7" i="1"/>
  <c r="R7" i="1"/>
  <c r="X9" i="1"/>
  <c r="U9" i="1"/>
  <c r="R9" i="1"/>
  <c r="X12" i="1"/>
  <c r="U12" i="1"/>
  <c r="R12" i="1"/>
  <c r="X13" i="1"/>
  <c r="U13" i="1"/>
  <c r="R13" i="1"/>
  <c r="X18" i="1"/>
  <c r="U18" i="1"/>
  <c r="R18" i="1"/>
  <c r="X10" i="1"/>
  <c r="U10" i="1"/>
  <c r="R10" i="1"/>
  <c r="X14" i="1"/>
  <c r="U14" i="1"/>
  <c r="R14" i="1"/>
  <c r="P9" i="13"/>
  <c r="P10" i="11"/>
  <c r="P7" i="11"/>
  <c r="P9" i="11"/>
  <c r="P11" i="11"/>
  <c r="B13" i="14"/>
  <c r="P11" i="14"/>
  <c r="P10" i="10"/>
  <c r="P11" i="10"/>
  <c r="P14" i="10"/>
  <c r="O20" i="1"/>
  <c r="L20" i="1"/>
  <c r="O8" i="1"/>
  <c r="O15" i="1"/>
  <c r="L15" i="1"/>
  <c r="O16" i="1"/>
  <c r="L16" i="1"/>
  <c r="O7" i="1"/>
  <c r="L7" i="1"/>
  <c r="I7" i="1"/>
  <c r="O9" i="1"/>
  <c r="L9" i="1"/>
  <c r="I9" i="1"/>
  <c r="O12" i="1"/>
  <c r="L12" i="1"/>
  <c r="I12" i="1"/>
  <c r="O13" i="1"/>
  <c r="I13" i="1"/>
  <c r="I19" i="1"/>
  <c r="O10" i="1"/>
  <c r="L10" i="1"/>
  <c r="I10" i="1"/>
  <c r="O14" i="1"/>
  <c r="L14" i="1"/>
  <c r="I14" i="1"/>
  <c r="I20" i="1"/>
  <c r="I8" i="1"/>
  <c r="R8" i="12"/>
  <c r="R12" i="10"/>
  <c r="R8" i="5"/>
  <c r="E14" i="15"/>
  <c r="B13" i="15" s="1"/>
  <c r="E27" i="1"/>
  <c r="R7" i="14"/>
  <c r="R7" i="13"/>
  <c r="R7" i="12"/>
  <c r="R12" i="11"/>
  <c r="R15" i="10"/>
  <c r="R7" i="5"/>
  <c r="R9" i="14"/>
  <c r="R13" i="11"/>
  <c r="R7" i="10"/>
  <c r="P8" i="14"/>
  <c r="P7" i="13"/>
  <c r="P9" i="14"/>
  <c r="P7" i="10"/>
  <c r="P13" i="10"/>
  <c r="B17" i="10"/>
  <c r="P8" i="11"/>
  <c r="P8" i="12"/>
  <c r="B10" i="12"/>
  <c r="P7" i="14"/>
  <c r="B10" i="5"/>
  <c r="B15" i="11"/>
  <c r="P8" i="5"/>
  <c r="P12" i="10"/>
  <c r="P9" i="10"/>
  <c r="P8" i="13"/>
  <c r="B11" i="13"/>
  <c r="P8" i="10"/>
  <c r="P12" i="11"/>
  <c r="P7" i="5"/>
  <c r="P15" i="10"/>
  <c r="P13" i="11"/>
  <c r="P7" i="12"/>
  <c r="I21" i="1"/>
  <c r="I15" i="1"/>
  <c r="I16" i="1"/>
  <c r="AK7" i="15"/>
  <c r="AK21" i="1"/>
  <c r="AB8" i="15" l="1"/>
  <c r="AB10" i="15"/>
  <c r="AB9" i="15"/>
  <c r="AB11" i="15"/>
  <c r="AB22" i="1"/>
  <c r="AB20" i="1"/>
  <c r="AB18" i="1"/>
  <c r="AB8" i="1"/>
  <c r="AB17" i="1"/>
  <c r="AB21" i="1"/>
  <c r="AB10" i="1"/>
  <c r="AB9" i="1"/>
  <c r="AB14" i="1"/>
  <c r="AB23" i="1"/>
  <c r="AB13" i="1"/>
  <c r="AB15" i="1"/>
  <c r="AB12" i="1"/>
  <c r="AB19" i="1"/>
  <c r="AB16" i="1"/>
  <c r="AB7" i="1"/>
  <c r="AB11" i="1"/>
  <c r="V17" i="1"/>
  <c r="Y19" i="1"/>
  <c r="Y10" i="15"/>
  <c r="Y8" i="15"/>
  <c r="Y7" i="15"/>
  <c r="Y9" i="15"/>
  <c r="Y17" i="1"/>
  <c r="Y13" i="1"/>
  <c r="Y8" i="1"/>
  <c r="Y23" i="1"/>
  <c r="Y14" i="1"/>
  <c r="Y21" i="1"/>
  <c r="Y15" i="1"/>
  <c r="Y18" i="1"/>
  <c r="Y7" i="1"/>
  <c r="Y20" i="1"/>
  <c r="Y10" i="1"/>
  <c r="Y22" i="1"/>
  <c r="Y9" i="1"/>
  <c r="Y12" i="1"/>
  <c r="Y16" i="1"/>
  <c r="Y11" i="1"/>
  <c r="V7" i="15"/>
  <c r="S7" i="15"/>
  <c r="S11" i="15"/>
  <c r="M11" i="15"/>
  <c r="P7" i="15"/>
  <c r="M10" i="15"/>
  <c r="S10" i="15"/>
  <c r="V10" i="15"/>
  <c r="S17" i="1"/>
  <c r="S8" i="15"/>
  <c r="P8" i="15"/>
  <c r="M7" i="15"/>
  <c r="V11" i="15"/>
  <c r="V8" i="15"/>
  <c r="P11" i="15"/>
  <c r="S9" i="15"/>
  <c r="J11" i="15"/>
  <c r="V9" i="15"/>
  <c r="P9" i="15"/>
  <c r="V21" i="1"/>
  <c r="V18" i="1"/>
  <c r="V8" i="1"/>
  <c r="V20" i="1"/>
  <c r="V24" i="1"/>
  <c r="V15" i="1"/>
  <c r="V14" i="1"/>
  <c r="V7" i="1"/>
  <c r="V19" i="1"/>
  <c r="V13" i="1"/>
  <c r="V12" i="1"/>
  <c r="V22" i="1"/>
  <c r="V10" i="1"/>
  <c r="V9" i="1"/>
  <c r="V16" i="1"/>
  <c r="V11" i="1"/>
  <c r="S23" i="1"/>
  <c r="S14" i="1"/>
  <c r="S8" i="1"/>
  <c r="S24" i="1"/>
  <c r="S20" i="1"/>
  <c r="S12" i="1"/>
  <c r="S19" i="1"/>
  <c r="S18" i="1"/>
  <c r="S22" i="1"/>
  <c r="S15" i="1"/>
  <c r="S9" i="1"/>
  <c r="S13" i="1"/>
  <c r="S7" i="1"/>
  <c r="S10" i="1"/>
  <c r="S16" i="1"/>
  <c r="S11" i="1"/>
  <c r="M17" i="1"/>
  <c r="J9" i="15"/>
  <c r="M8" i="15"/>
  <c r="M9" i="15"/>
  <c r="P21" i="1"/>
  <c r="P17" i="1"/>
  <c r="P24" i="1"/>
  <c r="P8" i="1"/>
  <c r="P20" i="1"/>
  <c r="P14" i="1"/>
  <c r="P13" i="1"/>
  <c r="P12" i="1"/>
  <c r="P10" i="1"/>
  <c r="P15" i="1"/>
  <c r="P23" i="1"/>
  <c r="P9" i="1"/>
  <c r="P22" i="1"/>
  <c r="P16" i="1"/>
  <c r="P7" i="1"/>
  <c r="P19" i="1"/>
  <c r="P11" i="1"/>
  <c r="M13" i="1"/>
  <c r="M21" i="1"/>
  <c r="M24" i="1"/>
  <c r="M18" i="1"/>
  <c r="M8" i="1"/>
  <c r="M14" i="1"/>
  <c r="M12" i="1"/>
  <c r="M20" i="1"/>
  <c r="M10" i="1"/>
  <c r="M15" i="1"/>
  <c r="M9" i="1"/>
  <c r="M22" i="1"/>
  <c r="M7" i="1"/>
  <c r="M23" i="1"/>
  <c r="J8" i="15"/>
  <c r="J7" i="15"/>
  <c r="J10" i="15"/>
  <c r="M19" i="1"/>
  <c r="M16" i="1"/>
  <c r="M11" i="1"/>
  <c r="B92" i="4"/>
  <c r="R10" i="14"/>
  <c r="J18" i="1"/>
  <c r="J17" i="1"/>
  <c r="J21" i="1"/>
  <c r="J24" i="1"/>
  <c r="J22" i="1"/>
  <c r="J15" i="1"/>
  <c r="J14" i="1"/>
  <c r="J10" i="1"/>
  <c r="J19" i="1"/>
  <c r="J23" i="1"/>
  <c r="J12" i="1"/>
  <c r="J8" i="1"/>
  <c r="J9" i="1"/>
  <c r="J7" i="1"/>
  <c r="J13" i="1"/>
  <c r="J11" i="1"/>
  <c r="AK11" i="1"/>
  <c r="AK17" i="1"/>
  <c r="B55" i="4"/>
  <c r="J16" i="1"/>
  <c r="R8" i="18"/>
  <c r="R8" i="17"/>
  <c r="B82" i="4"/>
  <c r="S21" i="1"/>
  <c r="B26" i="1"/>
  <c r="J20" i="1"/>
  <c r="R8" i="11"/>
  <c r="R8" i="10"/>
  <c r="AK8" i="15"/>
  <c r="AK20" i="1"/>
  <c r="AI17" i="1" l="1"/>
  <c r="AI7" i="15"/>
  <c r="AI10" i="15"/>
  <c r="AI8" i="15"/>
  <c r="AI11" i="15"/>
  <c r="AI9" i="15"/>
  <c r="AI8" i="1"/>
  <c r="AI12" i="1"/>
  <c r="AI13" i="1"/>
  <c r="AI20" i="1"/>
  <c r="AI24" i="1"/>
  <c r="AI10" i="1"/>
  <c r="AI9" i="1"/>
  <c r="AI14" i="1"/>
  <c r="AI7" i="1"/>
  <c r="AI15" i="1"/>
  <c r="AI22" i="1"/>
  <c r="AI23" i="1"/>
  <c r="AI19" i="1"/>
  <c r="AI16" i="1"/>
  <c r="AI11" i="1"/>
  <c r="AI21" i="1"/>
  <c r="AK22" i="1"/>
  <c r="AK23" i="1"/>
  <c r="R9" i="18"/>
  <c r="R9" i="17"/>
  <c r="R8" i="13"/>
  <c r="R11" i="14"/>
  <c r="R8" i="14"/>
  <c r="R10" i="11"/>
  <c r="AK10" i="15"/>
  <c r="AK8" i="1"/>
  <c r="R11" i="17" l="1"/>
  <c r="R10" i="17"/>
  <c r="R7" i="11"/>
  <c r="R11" i="10"/>
  <c r="R10" i="10"/>
  <c r="AK11" i="15"/>
  <c r="AK15" i="1"/>
  <c r="R7" i="19" l="1"/>
  <c r="R9" i="11"/>
  <c r="R14" i="10"/>
  <c r="AK24" i="1"/>
  <c r="R11" i="11" l="1"/>
  <c r="R9" i="10"/>
  <c r="AK16" i="1"/>
  <c r="AK7" i="1" l="1"/>
  <c r="R13" i="10" l="1"/>
  <c r="AK9" i="1" l="1"/>
  <c r="AK12" i="1" l="1"/>
  <c r="AK13" i="1" l="1"/>
  <c r="AK18" i="1" l="1"/>
  <c r="AK19" i="1" l="1"/>
  <c r="AK10" i="1" l="1"/>
  <c r="AK14" i="1" l="1"/>
  <c r="B7" i="5" l="1"/>
  <c r="B8" i="5" s="1"/>
  <c r="B7" i="13"/>
  <c r="B7" i="18" l="1"/>
  <c r="B8" i="18" s="1"/>
  <c r="B9" i="18" s="1"/>
  <c r="B7" i="10"/>
  <c r="B8" i="10" s="1"/>
  <c r="B9" i="10" s="1"/>
  <c r="B7" i="11"/>
  <c r="B7" i="14"/>
  <c r="B8" i="14" s="1"/>
  <c r="B9" i="14" s="1"/>
  <c r="B10" i="14" s="1"/>
  <c r="B11" i="14" s="1"/>
  <c r="B7" i="15" l="1"/>
  <c r="B8" i="11"/>
  <c r="B9" i="11" s="1"/>
  <c r="B7" i="1"/>
  <c r="B8" i="1" s="1"/>
  <c r="B10" i="10" l="1"/>
  <c r="B11" i="10" s="1"/>
  <c r="B12" i="10" s="1"/>
  <c r="B13" i="10" s="1"/>
  <c r="B14" i="10" s="1"/>
  <c r="B15" i="10" s="1"/>
  <c r="B8" i="15"/>
  <c r="B9" i="15" s="1"/>
  <c r="B10" i="15" s="1"/>
  <c r="B11" i="15" s="1"/>
  <c r="B7" i="12"/>
  <c r="B8" i="12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8" i="13"/>
  <c r="B9" i="13" s="1"/>
  <c r="B10" i="11"/>
  <c r="B11" i="11" s="1"/>
  <c r="B12" i="11" s="1"/>
  <c r="B13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H6" authorId="0" shapeId="0" xr:uid="{17E4C129-F231-469E-8389-6DC086A2A973}">
      <text>
        <r>
          <rPr>
            <sz val="9"/>
            <color indexed="81"/>
            <rFont val="Tahoma"/>
            <family val="2"/>
            <charset val="238"/>
          </rPr>
          <t>Tr - czas przebycia trasy
format wpisywania (gg:mm:ss)</t>
        </r>
      </text>
    </comment>
    <comment ref="I6" authorId="0" shapeId="0" xr:uid="{56FB2B1B-7DBE-4A32-AB2A-AEDFA36EE1AD}">
      <text>
        <r>
          <rPr>
            <sz val="9"/>
            <color indexed="81"/>
            <rFont val="Tahoma"/>
            <family val="2"/>
            <charset val="238"/>
          </rPr>
          <t>Tsk - czas skorygowany</t>
        </r>
      </text>
    </comment>
    <comment ref="J6" authorId="0" shapeId="0" xr:uid="{6DAFA2E7-045B-4334-8208-93690987EDCE}">
      <text>
        <r>
          <rPr>
            <sz val="9"/>
            <color indexed="81"/>
            <rFont val="Tahoma"/>
            <family val="2"/>
            <charset val="238"/>
          </rPr>
          <t>W - wyścig
zajęte miejsce w wyścigu</t>
        </r>
      </text>
    </comment>
    <comment ref="AJ6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AK6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kolejność z listy startowej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BA560738-B74A-49D7-974A-DB2083CF455D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8CC53AD1-6C36-4557-B8E8-DA148CED64C6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2B94633F-922E-4C65-B7CD-1896802E7121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53912A01-4B45-4CD5-9282-C632A28234DF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H6" authorId="0" shapeId="0" xr:uid="{3378CFD6-20BD-411E-B558-834148EEC722}">
      <text>
        <r>
          <rPr>
            <sz val="9"/>
            <color indexed="81"/>
            <rFont val="Tahoma"/>
            <family val="2"/>
            <charset val="238"/>
          </rPr>
          <t>Tr - czas przebycia trasy
format wpisywania (gg:mm:ss)</t>
        </r>
      </text>
    </comment>
    <comment ref="I6" authorId="0" shapeId="0" xr:uid="{7F72319E-9D39-45B2-98EC-E9F01B853A97}">
      <text>
        <r>
          <rPr>
            <sz val="9"/>
            <color indexed="81"/>
            <rFont val="Tahoma"/>
            <family val="2"/>
            <charset val="238"/>
          </rPr>
          <t>Tsk - czas skorygowany</t>
        </r>
      </text>
    </comment>
    <comment ref="J6" authorId="0" shapeId="0" xr:uid="{79D055E8-2CC0-4082-8149-3C0ADA11CA3E}">
      <text>
        <r>
          <rPr>
            <sz val="9"/>
            <color indexed="81"/>
            <rFont val="Tahoma"/>
            <family val="2"/>
            <charset val="238"/>
          </rPr>
          <t xml:space="preserve">W - wyścig
zajęte miejsce w wyścigu
</t>
        </r>
      </text>
    </comment>
    <comment ref="AJ6" authorId="0" shapeId="0" xr:uid="{28FFCEBE-0E1B-46AB-81E0-9837415AB9A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AK6" authorId="0" shapeId="0" xr:uid="{91980D1D-A43B-411B-8436-EE3EB696904D}">
      <text>
        <r>
          <rPr>
            <sz val="9"/>
            <color indexed="81"/>
            <rFont val="Tahoma"/>
            <family val="2"/>
            <charset val="238"/>
          </rPr>
          <t>kolejność z listy startowej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00000000-0006-0000-0700-000002000000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Exner</author>
  </authors>
  <commentList>
    <comment ref="Q6" authorId="0" shapeId="0" xr:uid="{A81F7F6C-B3DC-4559-A5FB-0489065BA8E6}">
      <text>
        <r>
          <rPr>
            <sz val="9"/>
            <color indexed="81"/>
            <rFont val="Tahoma"/>
            <family val="2"/>
            <charset val="238"/>
          </rPr>
          <t>kolumna do remisów</t>
        </r>
      </text>
    </comment>
    <comment ref="R6" authorId="0" shapeId="0" xr:uid="{FD976CC9-DB31-45F8-8AE1-0C28F8E27C15}">
      <text>
        <r>
          <rPr>
            <sz val="9"/>
            <color indexed="81"/>
            <rFont val="Tahoma"/>
            <family val="2"/>
            <charset val="238"/>
          </rPr>
          <t>kolejność pierwotna z listy startowej</t>
        </r>
      </text>
    </comment>
  </commentList>
</comments>
</file>

<file path=xl/sharedStrings.xml><?xml version="1.0" encoding="utf-8"?>
<sst xmlns="http://schemas.openxmlformats.org/spreadsheetml/2006/main" count="469" uniqueCount="159">
  <si>
    <t>sternik</t>
  </si>
  <si>
    <t>nr na żaglu</t>
  </si>
  <si>
    <t>I</t>
  </si>
  <si>
    <t>II</t>
  </si>
  <si>
    <t>III</t>
  </si>
  <si>
    <t>IV</t>
  </si>
  <si>
    <t>V</t>
  </si>
  <si>
    <t>VI</t>
  </si>
  <si>
    <t>VII</t>
  </si>
  <si>
    <t>∑</t>
  </si>
  <si>
    <t>m-ce</t>
  </si>
  <si>
    <t>wyścigi</t>
  </si>
  <si>
    <t>Sędzia Główny</t>
  </si>
  <si>
    <t>lp.</t>
  </si>
  <si>
    <t>Lista startowa</t>
  </si>
  <si>
    <t>załoga</t>
  </si>
  <si>
    <t>IX</t>
  </si>
  <si>
    <t>VIII</t>
  </si>
  <si>
    <t>rem</t>
  </si>
  <si>
    <t>lp_lst</t>
  </si>
  <si>
    <t>wyniki nieoficjalne</t>
  </si>
  <si>
    <t>klasa : T1</t>
  </si>
  <si>
    <t>klasa : T2</t>
  </si>
  <si>
    <t>klasa : T3</t>
  </si>
  <si>
    <t>nr startowy</t>
  </si>
  <si>
    <t>klasa : OPEN 6.3</t>
  </si>
  <si>
    <t>klasa : MICRO</t>
  </si>
  <si>
    <t>nazwa jachtu</t>
  </si>
  <si>
    <t>klasa : T-Sport</t>
  </si>
  <si>
    <t>Vi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</si>
  <si>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</si>
  <si>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</si>
  <si>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</si>
  <si>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</si>
  <si>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</si>
  <si>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</si>
  <si>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</si>
  <si>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</si>
  <si>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</si>
  <si>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Tr1</t>
  </si>
  <si>
    <t>Tsk1</t>
  </si>
  <si>
    <t>Tr2</t>
  </si>
  <si>
    <t>Tr3</t>
  </si>
  <si>
    <t>Tr4</t>
  </si>
  <si>
    <t>Tr5</t>
  </si>
  <si>
    <t>Tr6</t>
  </si>
  <si>
    <t>Tr7</t>
  </si>
  <si>
    <t>Tr8</t>
  </si>
  <si>
    <t>Tr9</t>
  </si>
  <si>
    <t>Tsk2</t>
  </si>
  <si>
    <t>Tsk3</t>
  </si>
  <si>
    <t>Tsk4</t>
  </si>
  <si>
    <t>Tsk5</t>
  </si>
  <si>
    <t>Tsk6</t>
  </si>
  <si>
    <t>Tsk7</t>
  </si>
  <si>
    <t>Tsk8</t>
  </si>
  <si>
    <t>Tsk9</t>
  </si>
  <si>
    <t>klasa :T - bez żagli dodatkowych</t>
  </si>
  <si>
    <t>klasa :T  Sport- z żaglami dodatkowymi</t>
  </si>
  <si>
    <t>Jarek Bazylko</t>
  </si>
  <si>
    <t>Nazwa jachtu</t>
  </si>
  <si>
    <t>nr na żaglu/burcie</t>
  </si>
  <si>
    <t>1*</t>
  </si>
  <si>
    <t>klasa: MICRO RACER</t>
  </si>
  <si>
    <t>klasa: MICRO PROTO</t>
  </si>
  <si>
    <t>klasa: MICRO CRUISER</t>
  </si>
  <si>
    <t>Włocławek, 30 maja 2024</t>
  </si>
  <si>
    <t>Anwil CUP Długodystansowe Mistrzostwa Polski klas T i Delphia 24</t>
  </si>
  <si>
    <t>Delphia 24</t>
  </si>
  <si>
    <t>70</t>
  </si>
  <si>
    <t>Arkadiusz Rajchowicz</t>
  </si>
  <si>
    <t>WUNSZ</t>
  </si>
  <si>
    <t>CHIMERA</t>
  </si>
  <si>
    <t>50</t>
  </si>
  <si>
    <t>Marcin Kacprzak</t>
  </si>
  <si>
    <t>18</t>
  </si>
  <si>
    <t>Grzegorz Guzowski</t>
  </si>
  <si>
    <t>LIDA</t>
  </si>
  <si>
    <t>1</t>
  </si>
  <si>
    <t>Marek Kmieć</t>
  </si>
  <si>
    <t>RAFA</t>
  </si>
  <si>
    <t>42</t>
  </si>
  <si>
    <t>Piotr Just</t>
  </si>
  <si>
    <t>JUSTKA 3</t>
  </si>
  <si>
    <t>41</t>
  </si>
  <si>
    <t>Jakub Malicki</t>
  </si>
  <si>
    <t>DUŻE DRZEWO</t>
  </si>
  <si>
    <t>Pol 133</t>
  </si>
  <si>
    <t>24</t>
  </si>
  <si>
    <t>BLACK&amp;WHITE</t>
  </si>
  <si>
    <t>Mirosław Sztuba</t>
  </si>
  <si>
    <t>40</t>
  </si>
  <si>
    <t>Tomasz Szychowiak</t>
  </si>
  <si>
    <t>POL 70</t>
  </si>
  <si>
    <t>39</t>
  </si>
  <si>
    <t>Kamil Jakowanis</t>
  </si>
  <si>
    <t>POL 200</t>
  </si>
  <si>
    <t>DREWNOBUDOWA</t>
  </si>
  <si>
    <t>38</t>
  </si>
  <si>
    <t>Przemysław Tkacz</t>
  </si>
  <si>
    <t>RETRAKT</t>
  </si>
  <si>
    <t>37</t>
  </si>
  <si>
    <t>Roman Czajkowski</t>
  </si>
  <si>
    <t>POL 202</t>
  </si>
  <si>
    <t>SPEEDY</t>
  </si>
  <si>
    <t>POL 133</t>
  </si>
  <si>
    <t>36</t>
  </si>
  <si>
    <t>Tomasz Wiśniewski</t>
  </si>
  <si>
    <t>SHREK</t>
  </si>
  <si>
    <t>35</t>
  </si>
  <si>
    <t>Marek Kudelski</t>
  </si>
  <si>
    <t>KORMIX</t>
  </si>
  <si>
    <t>Andrzej Brzozowski</t>
  </si>
  <si>
    <t>LEGENDA GT</t>
  </si>
  <si>
    <t>Michał Brzozowski</t>
  </si>
  <si>
    <t>LEGENDA NR1</t>
  </si>
  <si>
    <t>nazwa</t>
  </si>
  <si>
    <t>Maciej Mikołajczyk</t>
  </si>
  <si>
    <t>CALIBRA21</t>
  </si>
  <si>
    <t>23</t>
  </si>
  <si>
    <t>CALIBRA</t>
  </si>
  <si>
    <t>CALIBRA 21</t>
  </si>
  <si>
    <t>26</t>
  </si>
  <si>
    <t>Mariusz Augustyniak</t>
  </si>
  <si>
    <t>PRZYJACIEL WIATR</t>
  </si>
  <si>
    <t>45</t>
  </si>
  <si>
    <t>WIR</t>
  </si>
  <si>
    <t>Andrzej Suszek</t>
  </si>
  <si>
    <t>NOWA NADZIEJA</t>
  </si>
  <si>
    <t>POL39</t>
  </si>
  <si>
    <t>Kamil Chara</t>
  </si>
  <si>
    <t>22</t>
  </si>
  <si>
    <t>Dariusz Uryszek</t>
  </si>
  <si>
    <t>SANTA ANNA</t>
  </si>
  <si>
    <t>Marcin Macioszek</t>
  </si>
  <si>
    <t>RAFA 2 "SZOPENERIA"</t>
  </si>
  <si>
    <t>20</t>
  </si>
  <si>
    <t>Mirosław Czech</t>
  </si>
  <si>
    <t>TAŃCZĄCA Z FALAMI</t>
  </si>
  <si>
    <t>19</t>
  </si>
  <si>
    <t>Radosław Cierpiał</t>
  </si>
  <si>
    <t>KLEIB</t>
  </si>
  <si>
    <t>Bartłomiej Michałek</t>
  </si>
  <si>
    <t>CIVITAS KIELCENSIS</t>
  </si>
  <si>
    <t>Maciej Kalinowski</t>
  </si>
  <si>
    <t>DNS</t>
  </si>
  <si>
    <t>DSQ</t>
  </si>
  <si>
    <t>2*</t>
  </si>
  <si>
    <t>4*</t>
  </si>
  <si>
    <t>3*</t>
  </si>
  <si>
    <t>5*</t>
  </si>
  <si>
    <t>8*</t>
  </si>
  <si>
    <t>7*</t>
  </si>
  <si>
    <t>9*</t>
  </si>
  <si>
    <t>10*</t>
  </si>
  <si>
    <t>6*</t>
  </si>
  <si>
    <t>DSQ*</t>
  </si>
  <si>
    <t>DNS*</t>
  </si>
  <si>
    <t>DNF*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</si>
</sst>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&quot; &quot;\p\k\t\."/>
    <numFmt numFmtId="165" formatCode="yyyy/mm/dd\ &quot;  godz.: &quot;hh:mm"/>
    <numFmt numFmtId="166" formatCode="General&quot;.&quot;"/>
    <numFmt numFmtId="167" formatCode="[$-F400]h:mm:ss\ AM/PM"/>
    <numFmt numFmtId="168" formatCode="&quot;data: &quot;yyyy\-mm\-dd\ &quot; godz.: &quot;hh:mm"/>
    <numFmt numFmtId="169" formatCode="[h]:mm:ss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right" vertical="center" indent="1"/>
    </xf>
    <xf numFmtId="0" fontId="0" fillId="0" borderId="0" xfId="0" applyAlignment="1">
      <alignment vertical="center"/>
    </xf>
    <xf numFmtId="164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0" fillId="0" borderId="0" xfId="0" applyNumberFormat="1" applyAlignment="1">
      <alignment vertical="center"/>
    </xf>
    <xf numFmtId="166" fontId="11" fillId="0" borderId="0" xfId="0" applyNumberFormat="1" applyFont="1" applyAlignment="1">
      <alignment vertical="center"/>
    </xf>
    <xf numFmtId="169" fontId="1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7" fontId="1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8" fontId="0" fillId="0" borderId="0" xfId="0" applyNumberFormat="1"/>
    <xf numFmtId="165" fontId="0" fillId="0" borderId="0" xfId="0" applyNumberFormat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indent="1"/>
    </xf>
    <xf numFmtId="166" fontId="1" fillId="3" borderId="12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0" fillId="0" borderId="4" xfId="0" applyNumberFormat="1" applyBorder="1" applyAlignment="1">
      <alignment horizontal="right" vertical="center" indent="1"/>
    </xf>
    <xf numFmtId="49" fontId="0" fillId="0" borderId="1" xfId="0" applyNumberFormat="1" applyBorder="1" applyAlignment="1">
      <alignment horizontal="left" vertical="center"/>
    </xf>
    <xf numFmtId="2" fontId="5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166" fontId="1" fillId="6" borderId="12" xfId="0" applyNumberFormat="1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6" fontId="0" fillId="0" borderId="22" xfId="0" applyNumberFormat="1" applyBorder="1" applyAlignment="1">
      <alignment horizontal="right" vertical="center" indent="1"/>
    </xf>
    <xf numFmtId="49" fontId="0" fillId="0" borderId="18" xfId="0" applyNumberForma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right" vertical="center"/>
    </xf>
    <xf numFmtId="166" fontId="0" fillId="0" borderId="24" xfId="0" applyNumberFormat="1" applyBorder="1" applyAlignment="1">
      <alignment horizontal="right" vertical="center" indent="1"/>
    </xf>
    <xf numFmtId="49" fontId="0" fillId="0" borderId="2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2" fontId="5" fillId="0" borderId="26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401"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>
        <top style="hair">
          <color rgb="FF000000"/>
        </top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/>
        <bottom/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>
        <top style="hair">
          <color rgb="FF000000"/>
        </top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/>
        <bottom/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/>
        <top style="hair">
          <color rgb="FF000000"/>
        </top>
        <bottom style="hair">
          <color rgb="FF000000"/>
        </bottom>
      </border>
    </dxf>
    <dxf>
      <fill>
        <patternFill patternType="solid">
          <fgColor rgb="FF000000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border>
        <top style="hair">
          <color rgb="FF000000"/>
        </top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/>
        <bottom/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numFmt numFmtId="166" formatCode="General&quot;.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>
        <top style="hair">
          <color rgb="FF000000"/>
        </top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/>
        <bottom/>
        <vertical style="hair">
          <color rgb="FF000000"/>
        </vertical>
        <horizontal style="hair">
          <color rgb="FF000000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166" formatCode="General&quot;.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numFmt numFmtId="166" formatCode="General&quot;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General&quot;.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166" formatCode="General&quot;.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sz val="6"/>
      </font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numFmt numFmtId="166" formatCode="General&quot;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General&quot;.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numFmt numFmtId="166" formatCode="General&quot;.&quot;"/>
      <alignment horizontal="right" vertical="center" textRotation="0" wrapText="0" indent="1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30" formatCode="@"/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numFmt numFmtId="166" formatCode="General&quot;.&quot;"/>
      <alignment horizontal="right" vertical="center" textRotation="0" wrapText="0" indent="1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General&quot;.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General&quot;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General&quot;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General&quot;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General&quot;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General&quot;.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2" xr9:uid="{00000000-0011-0000-FFFF-FFFF00000000}">
      <tableStyleElement type="wholeTable" dxfId="400"/>
      <tableStyleElement type="headerRow" dxfId="399"/>
    </tableStyle>
    <tableStyle name="podstawowa" pivot="0" count="1" xr9:uid="{00000000-0011-0000-FFFF-FFFF01000000}">
      <tableStyleElement type="wholeTable" dxfId="398"/>
    </tableStyle>
    <tableStyle name="Styl bez ramek" pivot="0" count="0" xr9:uid="{D66A6D59-D7F2-4692-ABFE-ED575ACC646A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STkl1" displayName="STkl1" ref="B6:G24" totalsRowShown="0" headerRowDxfId="397" dataDxfId="395" headerRowBorderDxfId="396" tableBorderDxfId="394" totalsRowBorderDxfId="393">
  <tableColumns count="6">
    <tableColumn id="1" xr3:uid="{00000000-0010-0000-0000-000001000000}" name="lp." dataDxfId="392">
      <calculatedColumnFormula>IFERROR(VALUE(OFFSET(B7,-1,0)),0)+1</calculatedColumnFormula>
    </tableColumn>
    <tableColumn id="2" xr3:uid="{00000000-0010-0000-0000-000002000000}" name="nr startowy" dataDxfId="391"/>
    <tableColumn id="7" xr3:uid="{00000000-0010-0000-0000-000007000000}" name="sternik" dataDxfId="390"/>
    <tableColumn id="4" xr3:uid="{00000000-0010-0000-0000-000004000000}" name="nr na żaglu/burcie" dataDxfId="389"/>
    <tableColumn id="5" xr3:uid="{00000000-0010-0000-0000-000005000000}" name="Nazwa jachtu" dataDxfId="388"/>
    <tableColumn id="3" xr3:uid="{00000000-0010-0000-0000-000003000000}" name="Vi" dataDxfId="387"/>
  </tableColumns>
  <tableStyleInfo name="Styl bez ramek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56801F5-83FE-4C9B-B561-6047015F7C0B}" name="WynKl2" displayName="WynKl2" ref="B6:AK11" totalsRowShown="0" headerRowDxfId="254" dataDxfId="253">
  <sortState xmlns:xlrd2="http://schemas.microsoft.com/office/spreadsheetml/2017/richdata2" ref="B7:AK11">
    <sortCondition ref="AJ8:AJ11"/>
  </sortState>
  <tableColumns count="36">
    <tableColumn id="13" xr3:uid="{3FCBA06C-5C53-4730-A0D0-8179B78127BE}" name="m-ce" dataDxfId="252" totalsRowDxfId="251">
      <calculatedColumnFormula>IFERROR(VALUE(OFFSET(B7,-1,0)),0)+1</calculatedColumnFormula>
    </tableColumn>
    <tableColumn id="1" xr3:uid="{FEFC5531-4B2B-4FEA-9042-36D3D7260362}" name="nr startowy" dataDxfId="250">
      <calculatedColumnFormula>IFERROR(IF(lista_startowa!$C30=0,"",lista_startowa!$C30),"")</calculatedColumnFormula>
    </tableColumn>
    <tableColumn id="2" xr3:uid="{E7CFEA96-BED3-4FB7-929D-58FF601B7415}" name="sternik" dataDxfId="249" totalsRowDxfId="248">
      <calculatedColumnFormula>IFERROR(IF(lista_startowa!$D30=0,"",lista_startowa!$D30),"")</calculatedColumnFormula>
    </tableColumn>
    <tableColumn id="3" xr3:uid="{5746D395-8866-47B5-9AAE-C52FBEE48BA0}" name="nr na żaglu" dataDxfId="247" totalsRowDxfId="246">
      <calculatedColumnFormula>IFERROR(IF(lista_startowa!$E30=0,"",lista_startowa!$E30),"")</calculatedColumnFormula>
    </tableColumn>
    <tableColumn id="4" xr3:uid="{36137818-3755-4F53-A473-416E6BEE6918}" name="nazwa" dataDxfId="245" totalsRowDxfId="244">
      <calculatedColumnFormula>IFERROR(IF(lista_startowa!$F30=0,"",lista_startowa!$F30),"")</calculatedColumnFormula>
    </tableColumn>
    <tableColumn id="10" xr3:uid="{6D9BD211-2608-4B50-8E36-6473243BC23F}" name="Vi" dataDxfId="243" totalsRowDxfId="242">
      <calculatedColumnFormula>IFERROR(IF(lista_startowa!$G30=0,"",lista_startowa!$G30),"")</calculatedColumnFormula>
    </tableColumn>
    <tableColumn id="18" xr3:uid="{2B1B64E5-D456-4DB3-920C-2DD5AA457071}" name="Tr1" dataDxfId="241" totalsRowDxfId="240"/>
    <tableColumn id="19" xr3:uid="{633CD9F4-BC2A-40DD-B909-C4F265252702}" name="Tsk1" dataDxfId="239">
      <calculatedColumnFormula>IF(WynKl2[[#This Row],[Tr1]]="","",IFERROR(WynKl2[[#This Row],[Tr1]]*3600*(WynKl2[[#This Row],[Vi]]/(SUMIFS(WynKl2[Vi],WynKl2[Tr1],"&gt;00:00:00")/COUNTA(WynKl2[Tr1])))/3600,""))</calculatedColumnFormula>
    </tableColumn>
    <tableColumn id="5" xr3:uid="{B65DEEF4-B40A-40F4-A07B-0B97C7D4529E}" name="W1" dataDxfId="238" totalsRowDxfId="237">
      <calculatedColumnFormula>IFERROR(_xlfn.RANK.EQ(WynKl2[[#This Row],[Tsk1]],WynKl2[Tsk1],1),"")</calculatedColumnFormula>
    </tableColumn>
    <tableColumn id="11" xr3:uid="{DBD5C3FB-D4ED-4595-82D6-37EE6CA4F6E3}" name="Tr2" dataDxfId="236" totalsRowDxfId="235"/>
    <tableColumn id="20" xr3:uid="{E20F6AD9-FFEB-4DCE-BC0B-137968AF2156}" name="Tsk2" dataDxfId="234" totalsRowDxfId="233">
      <calculatedColumnFormula>IF(WynKl2[[#This Row],[Tr1]]="","",IFERROR(WynKl2[[#This Row],[Tr1]]*3600*(WynKl2[[#This Row],[Vi]]/(SUMIFS(WynKl2[Vi],WynKl2[Tr1],"&gt;00:00:00")/COUNTA(WynKl2[Tr1])))/3600,""))</calculatedColumnFormula>
    </tableColumn>
    <tableColumn id="6" xr3:uid="{EB1F391D-536A-4C09-83B5-4AEFB3620665}" name="W2" dataDxfId="232" totalsRowDxfId="231">
      <calculatedColumnFormula>IFERROR(_xlfn.RANK.EQ(WynKl2[[#This Row],[Tsk2]],WynKl2[Tsk2],1),"")</calculatedColumnFormula>
    </tableColumn>
    <tableColumn id="22" xr3:uid="{59DEA081-2312-4705-82E8-2D38BA2FA766}" name="Tr3" dataDxfId="230" totalsRowDxfId="229"/>
    <tableColumn id="21" xr3:uid="{66F50CA9-666A-4D4A-9220-6A891FA6F7A2}" name="Tsk3" dataDxfId="228" totalsRowDxfId="227">
      <calculatedColumnFormula>IF(WynKl2[[#This Row],[Tr3]]="","",IFERROR(WynKl2[[#This Row],[Tr3]]*3600*(WynKl2[[#This Row],[Vi]]/(SUMIFS(WynKl2[Vi],WynKl2[Tr3],"&gt;00:00:00")/COUNTA(WynKl2[Tr3])))/3600,""))</calculatedColumnFormula>
    </tableColumn>
    <tableColumn id="7" xr3:uid="{242D6030-9EA2-4634-8699-6D38ADE5419C}" name="W3" dataDxfId="226" totalsRowDxfId="225">
      <calculatedColumnFormula>IFERROR(_xlfn.RANK.EQ(WynKl2[[#This Row],[Tsk3]],WynKl2[Tsk3],1),"")</calculatedColumnFormula>
    </tableColumn>
    <tableColumn id="24" xr3:uid="{BFE7CA04-42E1-407E-9027-54FCCEFE58E8}" name="Tr4" dataDxfId="224" totalsRowDxfId="223"/>
    <tableColumn id="23" xr3:uid="{4FD342C3-35D4-433A-B35B-64EE7DE06DE6}" name="Tsk4" dataDxfId="222" totalsRowDxfId="221">
      <calculatedColumnFormula>IF(WynKl2[[#This Row],[Tr4]]="","",IFERROR(WynKl2[[#This Row],[Tr4]]*3600*(WynKl2[[#This Row],[Vi]]/(SUMIFS(WynKl2[Vi],WynKl2[Tr4],"&gt;00:00:00")/COUNTA(WynKl2[Tr4])))/3600,""))</calculatedColumnFormula>
    </tableColumn>
    <tableColumn id="8" xr3:uid="{067F7CEE-A2EF-4DEF-AA64-48017CDE19C4}" name="W4" dataDxfId="220" totalsRowDxfId="219">
      <calculatedColumnFormula>IFERROR(_xlfn.RANK.EQ(WynKl2[[#This Row],[Tsk4]],WynKl2[Tsk4],1),"")</calculatedColumnFormula>
    </tableColumn>
    <tableColumn id="26" xr3:uid="{812C909E-87E8-451C-9A6B-9727777A4F12}" name="Tr5" dataDxfId="218" totalsRowDxfId="217"/>
    <tableColumn id="25" xr3:uid="{0E272451-267E-4BAA-BF3D-670E3E6C5E35}" name="Tsk5" dataDxfId="216" totalsRowDxfId="215">
      <calculatedColumnFormula>IF(WynKl2[[#This Row],[Tr5]]="","",IFERROR(WynKl2[[#This Row],[Tr5]]*3600*(WynKl2[[#This Row],[Vi]]/(SUMIFS(WynKl2[Vi],WynKl2[Tr5],"&gt;00:00:00")/COUNTA(WynKl2[Tr5])))/3600,""))</calculatedColumnFormula>
    </tableColumn>
    <tableColumn id="9" xr3:uid="{5EA2FD55-EAAC-4B46-BBE1-075813D9C35D}" name="W5" dataDxfId="214" totalsRowDxfId="213">
      <calculatedColumnFormula>IFERROR(_xlfn.RANK.EQ(WynKl2[[#This Row],[Tsk5]],WynKl2[Tsk5],1),"")</calculatedColumnFormula>
    </tableColumn>
    <tableColumn id="28" xr3:uid="{E669C991-AA80-4D2C-B753-0D3EA23F63BF}" name="Tr6" dataDxfId="212" totalsRowDxfId="211"/>
    <tableColumn id="27" xr3:uid="{12BBAB42-92B6-40F0-BA6E-0C8DB1EC05EE}" name="Tsk6" dataDxfId="210" totalsRowDxfId="209">
      <calculatedColumnFormula>IF(WynKl2[[#This Row],[Tr6]]="","",IFERROR(WynKl2[[#This Row],[Tr6]]*3600*(WynKl2[[#This Row],[Vi]]/(SUMIFS(WynKl2[Vi],WynKl2[Tr6],"&gt;00:00:00")/COUNTA(WynKl2[Tr6])))/3600,""))</calculatedColumnFormula>
    </tableColumn>
    <tableColumn id="15" xr3:uid="{95600DCB-8EE7-4BB5-9B86-C03384EEEFA3}" name="W6" dataDxfId="208" totalsRowDxfId="207">
      <calculatedColumnFormula>IFERROR(_xlfn.RANK.EQ(WynKl2[[#This Row],[Tsk6]],WynKl2[Tsk6],1),"")</calculatedColumnFormula>
    </tableColumn>
    <tableColumn id="30" xr3:uid="{1A5B8380-5812-42C8-BF5F-260DBB68A620}" name="Tr7" dataDxfId="206"/>
    <tableColumn id="29" xr3:uid="{9B39C6C8-ABFA-4284-BF74-D8BD5857AA15}" name="Tsk7" dataDxfId="205">
      <calculatedColumnFormula>IF(WynKl2[[#This Row],[Tr7]]="","",IFERROR(WynKl2[[#This Row],[Tr7]]*3600*(WynKl2[[#This Row],[Vi]]/(SUMIFS(WynKl2[Vi],WynKl2[Tr7],"&gt;00:00:00")/COUNTA(WynKl2[Tr7])))/3600,""))</calculatedColumnFormula>
    </tableColumn>
    <tableColumn id="14" xr3:uid="{915F10FB-32ED-46E3-A8CF-6F62741EBC6F}" name="W7" dataDxfId="204">
      <calculatedColumnFormula>IFERROR(_xlfn.RANK.EQ(WynKl2[[#This Row],[Tsk7]],WynKl2[Tsk7],1),"")</calculatedColumnFormula>
    </tableColumn>
    <tableColumn id="33" xr3:uid="{0BB401B2-5561-4C3C-9FA5-82CB8E65ED85}" name="Tr8" dataDxfId="203"/>
    <tableColumn id="32" xr3:uid="{61EC924E-0F18-416E-95E8-539281515394}" name="Tsk8" dataDxfId="202">
      <calculatedColumnFormula>IF(WynKl2[[#This Row],[Tr8]]="","",IFERROR(WynKl2[[#This Row],[Tr8]]*3600*(WynKl2[[#This Row],[Vi]]/(SUMIFS(WynKl2[Vi],WynKl2[Tr8],"&gt;00:00:00")/COUNTA(WynKl2[Tr8])))/3600,""))</calculatedColumnFormula>
    </tableColumn>
    <tableColumn id="31" xr3:uid="{7DCE8DCF-C511-40F0-BE99-379E478E383A}" name="W8" dataDxfId="201">
      <calculatedColumnFormula>IFERROR(_xlfn.RANK.EQ(WynKl2[[#This Row],[Tsk8]],WynKl2[Tsk8],1),"")</calculatedColumnFormula>
    </tableColumn>
    <tableColumn id="36" xr3:uid="{139CCD95-334D-4C88-B49F-BADB2490325D}" name="Tr9" dataDxfId="200"/>
    <tableColumn id="35" xr3:uid="{B2FB6D0E-9815-4884-A2BB-5F259745588B}" name="Tsk9" dataDxfId="199">
      <calculatedColumnFormula>IF(WynKl2[[#This Row],[Tr9]]="","",IFERROR(WynKl2[[#This Row],[Tr9]]*3600*(WynKl2[[#This Row],[Vi]]/(SUMIFS(WynKl2[Vi],WynKl2[Tr9],"&gt;00:00:00")/COUNTA(WynKl2[Tr9])))/3600,""))</calculatedColumnFormula>
    </tableColumn>
    <tableColumn id="34" xr3:uid="{0047A827-69D3-478F-BDB4-78D8E7EF2F41}" name="W9" dataDxfId="198">
      <calculatedColumnFormula>IFERROR(_xlfn.RANK.EQ(WynKl2[[#This Row],[Tsk9]],WynKl2[Tsk9],1),"")</calculatedColumnFormula>
    </tableColumn>
    <tableColumn id="12" xr3:uid="{BFB2095D-D664-4F9D-BC7C-B6751D06B446}" name="∑" dataDxfId="197" totalsRowDxfId="196">
      <calculatedColumnFormula>IF(J7="","",IF(ISBLANK(J7),"",SUM(J7,M7,P7,S7,V7,Y7,AB7,AE7,AH7)+SUM(COUNTIF(J7:AH7,"DSQ"),COUNTIF(J7:AH7,"OCS"),COUNTIF(J7:AH7,"DNF"),COUNTIF(J7:AH7,"DNC"),COUNTIF(J7:AH7,"DNE"),COUNTIF(J7:AH7,"RET"),COUNTIF(J7:AH7,"BFD"),COUNTIF(J7:AH7,"UFD"),COUNTIF(J7:AH7,"NSC"),COUNTIF(J7:AH7,"DNS"))*$E$14))</calculatedColumnFormula>
    </tableColumn>
    <tableColumn id="17" xr3:uid="{F5FB3731-5DCE-486D-8B90-F410B2C1488C}" name="rem" dataDxfId="195" totalsRowDxfId="194"/>
    <tableColumn id="16" xr3:uid="{FDDC14A1-5CD1-4589-BED5-F9D14CBE24F8}" name="lp_lst" dataDxfId="193" totalsRowDxfId="192">
      <calculatedColumnFormula>IFERROR(IF(lista_startowa!$B7=0,"",lista_startowa!$B7),"")</calculatedColumnFormula>
    </tableColumn>
  </tableColumns>
  <tableStyleInfo name="Styl bez ramek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WynKl7" displayName="WynKl7" ref="B6:R9" totalsRowShown="0" headerRowDxfId="191" dataDxfId="189" headerRowBorderDxfId="190" tableBorderDxfId="188" totalsRowBorderDxfId="187">
  <sortState xmlns:xlrd2="http://schemas.microsoft.com/office/spreadsheetml/2017/richdata2" ref="B7:R9">
    <sortCondition ref="P7:P9"/>
  </sortState>
  <tableColumns count="17">
    <tableColumn id="13" xr3:uid="{00000000-0010-0000-0B00-00000D000000}" name="m-ce" dataDxfId="186">
      <calculatedColumnFormula>IFERROR(VALUE(OFFSET(B7,-1,0)),0)+1</calculatedColumnFormula>
    </tableColumn>
    <tableColumn id="1" xr3:uid="{00000000-0010-0000-0B00-000001000000}" name="sternik" dataDxfId="185">
      <calculatedColumnFormula>IFERROR(IF(lista_startowa!$C80=0,"",lista_startowa!$C80),"")</calculatedColumnFormula>
    </tableColumn>
    <tableColumn id="2" xr3:uid="{00000000-0010-0000-0B00-000002000000}" name="nr na żaglu" dataDxfId="184">
      <calculatedColumnFormula>IFERROR(IF(lista_startowa!$D80=0,"",lista_startowa!$D80),"")</calculatedColumnFormula>
    </tableColumn>
    <tableColumn id="3" xr3:uid="{00000000-0010-0000-0B00-000003000000}" name="nr startowy" dataDxfId="183">
      <calculatedColumnFormula>IFERROR(IF(lista_startowa!$E80=0,"",lista_startowa!$E80),"")</calculatedColumnFormula>
    </tableColumn>
    <tableColumn id="4" xr3:uid="{00000000-0010-0000-0B00-000004000000}" name="nazwa jachtu" dataDxfId="182">
      <calculatedColumnFormula>IFERROR(IF(lista_startowa!$F80=0,"",lista_startowa!$F80),"")</calculatedColumnFormula>
    </tableColumn>
    <tableColumn id="5" xr3:uid="{00000000-0010-0000-0B00-000005000000}" name="I" dataDxfId="181"/>
    <tableColumn id="6" xr3:uid="{00000000-0010-0000-0B00-000006000000}" name="II" dataDxfId="180"/>
    <tableColumn id="7" xr3:uid="{00000000-0010-0000-0B00-000007000000}" name="III" dataDxfId="179"/>
    <tableColumn id="8" xr3:uid="{00000000-0010-0000-0B00-000008000000}" name="IV" dataDxfId="178"/>
    <tableColumn id="9" xr3:uid="{00000000-0010-0000-0B00-000009000000}" name="V" dataDxfId="177"/>
    <tableColumn id="15" xr3:uid="{00000000-0010-0000-0B00-00000F000000}" name="VI" dataDxfId="176"/>
    <tableColumn id="14" xr3:uid="{00000000-0010-0000-0B00-00000E000000}" name="VII" dataDxfId="175"/>
    <tableColumn id="10" xr3:uid="{00000000-0010-0000-0B00-00000A000000}" name="VIII" dataDxfId="174"/>
    <tableColumn id="11" xr3:uid="{00000000-0010-0000-0B00-00000B000000}" name="IX" dataDxfId="173"/>
    <tableColumn id="12" xr3:uid="{00000000-0010-0000-0B00-00000C000000}" name="∑" dataDxfId="172">
      <calculatedColumnFormula>IF(ISBLANK(G7),"",SUM(G7:O7)+(COUNTIF(G7:O7,"DSQ")+COUNTIF(G7:O7,"DNF")+COUNTIF(G7:O7,"OCS")+COUNTIF(G7:O7,"DNC")+COUNTIF(G7:O7,"DNS")+COUNTIF(G7:O7,"DNE")+COUNTIF(G7:O7,"RET")+COUNTIF(G7:O7,"BFD")+COUNTIF(G7:O7,"UFD")+COUNTIF(G7:O7,"NSC"))*$E$12)</calculatedColumnFormula>
    </tableColumn>
    <tableColumn id="16" xr3:uid="{00000000-0010-0000-0B00-000010000000}" name="rem" dataDxfId="171"/>
    <tableColumn id="17" xr3:uid="{00000000-0010-0000-0B00-000011000000}" name="lp_lst" dataDxfId="170">
      <calculatedColumnFormula>lista_startowa!$B80</calculatedColumnFormula>
    </tableColumn>
  </tableColumns>
  <tableStyleInfo name="Styl bez ramek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WynKl3" displayName="WynKl3" ref="B6:R8" totalsRowShown="0" headerRowDxfId="169" dataDxfId="168">
  <sortState xmlns:xlrd2="http://schemas.microsoft.com/office/spreadsheetml/2017/richdata2" ref="B7:R8">
    <sortCondition ref="P7:P8"/>
  </sortState>
  <tableColumns count="17">
    <tableColumn id="13" xr3:uid="{00000000-0010-0000-0700-00000D000000}" name="m-ce" dataDxfId="167">
      <calculatedColumnFormula>IFERROR(VALUE(OFFSET(B7,-1,0)),0)+1</calculatedColumnFormula>
    </tableColumn>
    <tableColumn id="1" xr3:uid="{00000000-0010-0000-0700-000001000000}" name="sternik" dataDxfId="166">
      <calculatedColumnFormula>IFERROR(IF(lista_startowa!$C40=0,"",lista_startowa!$C40),"")</calculatedColumnFormula>
    </tableColumn>
    <tableColumn id="2" xr3:uid="{00000000-0010-0000-0700-000002000000}" name="nr na żaglu" dataDxfId="165">
      <calculatedColumnFormula>IFERROR(IF(lista_startowa!$D40=0,"",lista_startowa!$D40),"")</calculatedColumnFormula>
    </tableColumn>
    <tableColumn id="3" xr3:uid="{00000000-0010-0000-0700-000003000000}" name="nr startowy" dataDxfId="164">
      <calculatedColumnFormula>IFERROR(IF(lista_startowa!$E40=0,"",lista_startowa!$E40),"")</calculatedColumnFormula>
    </tableColumn>
    <tableColumn id="4" xr3:uid="{00000000-0010-0000-0700-000004000000}" name="nazwa jachtu" dataDxfId="163">
      <calculatedColumnFormula>IFERROR(IF(lista_startowa!$F40=0,"",lista_startowa!$F40),"")</calculatedColumnFormula>
    </tableColumn>
    <tableColumn id="5" xr3:uid="{00000000-0010-0000-0700-000005000000}" name="I" dataDxfId="162"/>
    <tableColumn id="6" xr3:uid="{00000000-0010-0000-0700-000006000000}" name="II" dataDxfId="161"/>
    <tableColumn id="7" xr3:uid="{00000000-0010-0000-0700-000007000000}" name="III" dataDxfId="160"/>
    <tableColumn id="8" xr3:uid="{00000000-0010-0000-0700-000008000000}" name="IV" dataDxfId="159"/>
    <tableColumn id="9" xr3:uid="{00000000-0010-0000-0700-000009000000}" name="V" dataDxfId="158"/>
    <tableColumn id="15" xr3:uid="{00000000-0010-0000-0700-00000F000000}" name="VI" dataDxfId="157"/>
    <tableColumn id="14" xr3:uid="{00000000-0010-0000-0700-00000E000000}" name="VII" dataDxfId="156"/>
    <tableColumn id="10" xr3:uid="{00000000-0010-0000-0700-00000A000000}" name="VIII" dataDxfId="155"/>
    <tableColumn id="11" xr3:uid="{00000000-0010-0000-0700-00000B000000}" name="IX" dataDxfId="154"/>
    <tableColumn id="12" xr3:uid="{00000000-0010-0000-0700-00000C000000}" name="∑" dataDxfId="153">
      <calculatedColumnFormula>IF(ISBLANK(G7),"",SUM(G7:O7)+(COUNTIF(G7:O7,"DSQ")+COUNTIF(G7:O7,"DNF")+COUNTIF(G7:O7,"OCS")+COUNTIF(G7:O7,"DNC")+COUNTIF(G7:O7,"DNS")+COUNTIF(G7:O7,"DNE")+COUNTIF(G7:O7,"RET")+COUNTIF(G7:O7,"BFD")+COUNTIF(G7:O7,"UFD")+COUNTIF(G7:O7,"NSC"))*$E$11)</calculatedColumnFormula>
    </tableColumn>
    <tableColumn id="16" xr3:uid="{00000000-0010-0000-0700-000010000000}" name="rem" dataDxfId="152"/>
    <tableColumn id="17" xr3:uid="{00000000-0010-0000-0700-000011000000}" name="lp_lst" dataDxfId="151">
      <calculatedColumnFormula>lista_startowa!$B40</calculatedColumnFormula>
    </tableColumn>
  </tableColumns>
  <tableStyleInfo name="Styl bez ramek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WynKl4" displayName="WynKl4" ref="B6:R15" totalsRowShown="0" headerRowDxfId="150" dataDxfId="149">
  <sortState xmlns:xlrd2="http://schemas.microsoft.com/office/spreadsheetml/2017/richdata2" ref="B7:R15">
    <sortCondition ref="P7:P15"/>
  </sortState>
  <tableColumns count="17">
    <tableColumn id="13" xr3:uid="{00000000-0010-0000-0800-00000D000000}" name="m-ce" dataDxfId="148">
      <calculatedColumnFormula>IFERROR(VALUE(OFFSET(B7,-1,0)),0)+1</calculatedColumnFormula>
    </tableColumn>
    <tableColumn id="1" xr3:uid="{00000000-0010-0000-0800-000001000000}" name="sternik" dataDxfId="147">
      <calculatedColumnFormula>IFERROR(IF(lista_startowa!$C47=0,"",lista_startowa!$C47),"")</calculatedColumnFormula>
    </tableColumn>
    <tableColumn id="2" xr3:uid="{00000000-0010-0000-0800-000002000000}" name="nr na żaglu" dataDxfId="146">
      <calculatedColumnFormula>IFERROR(IF(lista_startowa!$D47=0,"",lista_startowa!$D47),"")</calculatedColumnFormula>
    </tableColumn>
    <tableColumn id="3" xr3:uid="{00000000-0010-0000-0800-000003000000}" name="nr startowy" dataDxfId="145">
      <calculatedColumnFormula>IFERROR(IF(lista_startowa!$E47=0,"",lista_startowa!$E47),"")</calculatedColumnFormula>
    </tableColumn>
    <tableColumn id="4" xr3:uid="{00000000-0010-0000-0800-000004000000}" name="nazwa jachtu" dataDxfId="144">
      <calculatedColumnFormula>IFERROR(IF(lista_startowa!$F47=0,"",lista_startowa!$F47),"")</calculatedColumnFormula>
    </tableColumn>
    <tableColumn id="5" xr3:uid="{00000000-0010-0000-0800-000005000000}" name="I" dataDxfId="143"/>
    <tableColumn id="6" xr3:uid="{00000000-0010-0000-0800-000006000000}" name="II" dataDxfId="142"/>
    <tableColumn id="7" xr3:uid="{00000000-0010-0000-0800-000007000000}" name="III" dataDxfId="141"/>
    <tableColumn id="8" xr3:uid="{00000000-0010-0000-0800-000008000000}" name="IV" dataDxfId="140"/>
    <tableColumn id="9" xr3:uid="{00000000-0010-0000-0800-000009000000}" name="V" dataDxfId="139"/>
    <tableColumn id="15" xr3:uid="{00000000-0010-0000-0800-00000F000000}" name="VI" dataDxfId="138"/>
    <tableColumn id="14" xr3:uid="{00000000-0010-0000-0800-00000E000000}" name="VII" dataDxfId="137"/>
    <tableColumn id="10" xr3:uid="{00000000-0010-0000-0800-00000A000000}" name="VIII" dataDxfId="136"/>
    <tableColumn id="11" xr3:uid="{00000000-0010-0000-0800-00000B000000}" name="IX" dataDxfId="135"/>
    <tableColumn id="12" xr3:uid="{00000000-0010-0000-0800-00000C000000}" name="∑" dataDxfId="134">
      <calculatedColumnFormula>IF(ISBLANK(G7),"",SUM(G7:O7)+(COUNTIF(G7:O7,"DSQ")+COUNTIF(G7:O7,"DNF")+COUNTIF(G7:O7,"OCS")+COUNTIF(G7:O7,"DNC")+COUNTIF(G7:O7,"DNS")+COUNTIF(G7:O7,"DNE")+COUNTIF(G7:O7,"RET")+COUNTIF(G7:O7,"BFD")+COUNTIF(G7:O7,"UFD")+COUNTIF(G7:O7,"NSC"))*$E$18)</calculatedColumnFormula>
    </tableColumn>
    <tableColumn id="16" xr3:uid="{00000000-0010-0000-0800-000010000000}" name="rem" dataDxfId="133"/>
    <tableColumn id="17" xr3:uid="{00000000-0010-0000-0800-000011000000}" name="lp_lst" dataDxfId="132">
      <calculatedColumnFormula>lista_startowa!$B47</calculatedColumnFormula>
    </tableColumn>
  </tableColumns>
  <tableStyleInfo name="Styl bez ramek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WynKl5" displayName="WynKl5" ref="B6:R13" totalsRowShown="0" headerRowDxfId="131" dataDxfId="129" headerRowBorderDxfId="130" tableBorderDxfId="128" totalsRowBorderDxfId="127">
  <sortState xmlns:xlrd2="http://schemas.microsoft.com/office/spreadsheetml/2017/richdata2" ref="B7:R13">
    <sortCondition ref="P7:P13"/>
  </sortState>
  <tableColumns count="17">
    <tableColumn id="13" xr3:uid="{00000000-0010-0000-0900-00000D000000}" name="m-ce" dataDxfId="126">
      <calculatedColumnFormula>IFERROR(VALUE(OFFSET(B7,-1,0)),0)+1</calculatedColumnFormula>
    </tableColumn>
    <tableColumn id="1" xr3:uid="{00000000-0010-0000-0900-000001000000}" name="sternik" dataDxfId="125">
      <calculatedColumnFormula>IFERROR(IF(lista_startowa!$C61=0,"",lista_startowa!$C61),"")</calculatedColumnFormula>
    </tableColumn>
    <tableColumn id="2" xr3:uid="{00000000-0010-0000-0900-000002000000}" name="załoga" dataDxfId="124">
      <calculatedColumnFormula>IFERROR(IF(lista_startowa!$D61=0,"",lista_startowa!$D61),"")</calculatedColumnFormula>
    </tableColumn>
    <tableColumn id="3" xr3:uid="{00000000-0010-0000-0900-000003000000}" name="nr startowy" dataDxfId="123">
      <calculatedColumnFormula>IFERROR(IF(lista_startowa!$E61=0,"",lista_startowa!$E61),"")</calculatedColumnFormula>
    </tableColumn>
    <tableColumn id="4" xr3:uid="{00000000-0010-0000-0900-000004000000}" name="nazwa jachtu" dataDxfId="122">
      <calculatedColumnFormula>IFERROR(IF(lista_startowa!$F61=0,"",lista_startowa!$F61),"")</calculatedColumnFormula>
    </tableColumn>
    <tableColumn id="5" xr3:uid="{00000000-0010-0000-0900-000005000000}" name="I" dataDxfId="121"/>
    <tableColumn id="6" xr3:uid="{00000000-0010-0000-0900-000006000000}" name="II" dataDxfId="120"/>
    <tableColumn id="7" xr3:uid="{00000000-0010-0000-0900-000007000000}" name="III" dataDxfId="119"/>
    <tableColumn id="8" xr3:uid="{00000000-0010-0000-0900-000008000000}" name="IV" dataDxfId="118"/>
    <tableColumn id="9" xr3:uid="{00000000-0010-0000-0900-000009000000}" name="V" dataDxfId="117"/>
    <tableColumn id="15" xr3:uid="{00000000-0010-0000-0900-00000F000000}" name="VI" dataDxfId="116"/>
    <tableColumn id="14" xr3:uid="{00000000-0010-0000-0900-00000E000000}" name="VII" dataDxfId="115"/>
    <tableColumn id="10" xr3:uid="{00000000-0010-0000-0900-00000A000000}" name="VIII" dataDxfId="114"/>
    <tableColumn id="11" xr3:uid="{00000000-0010-0000-0900-00000B000000}" name="IX" dataDxfId="113"/>
    <tableColumn id="12" xr3:uid="{00000000-0010-0000-0900-00000C000000}" name="∑" dataDxfId="112">
      <calculatedColumnFormula>IF(ISBLANK(G7),"",SUM(G7:O7)+(COUNTIF(G7:O7,"DSQ")+COUNTIF(G7:O7,"DNF")+COUNTIF(G7:O7,"OCS")+COUNTIF(G7:O7,"DNC")+COUNTIF(G7:O7,"DNS")+COUNTIF(G7:O7,"DNE")+COUNTIF(G7:O7,"RET")+COUNTIF(G7:O7,"BFD")+COUNTIF(G7:O7,"UFD")+COUNTIF(G7:O7,"NSC"))*$E$16)</calculatedColumnFormula>
    </tableColumn>
    <tableColumn id="16" xr3:uid="{00000000-0010-0000-0900-000010000000}" name="rem" dataDxfId="111"/>
    <tableColumn id="17" xr3:uid="{00000000-0010-0000-0900-000011000000}" name="lp_lst" dataDxfId="110">
      <calculatedColumnFormula>lista_startowa!$B61</calculatedColumnFormula>
    </tableColumn>
  </tableColumns>
  <tableStyleInfo name="Styl bez ramek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WynKl8" displayName="WynKl8" ref="B6:R11" totalsRowShown="0" headerRowDxfId="109" dataDxfId="107" headerRowBorderDxfId="108" tableBorderDxfId="106" totalsRowBorderDxfId="105">
  <sortState xmlns:xlrd2="http://schemas.microsoft.com/office/spreadsheetml/2017/richdata2" ref="B7:R11">
    <sortCondition ref="P7:P11"/>
  </sortState>
  <tableColumns count="17">
    <tableColumn id="13" xr3:uid="{00000000-0010-0000-0C00-00000D000000}" name="m-ce" dataDxfId="104">
      <calculatedColumnFormula>IFERROR(VALUE(OFFSET(B7,-1,0)),0)+1</calculatedColumnFormula>
    </tableColumn>
    <tableColumn id="1" xr3:uid="{00000000-0010-0000-0C00-000001000000}" name="sternik" dataDxfId="103">
      <calculatedColumnFormula>IFERROR(IF(lista_startowa!$C88=0,"",lista_startowa!$C88),"")</calculatedColumnFormula>
    </tableColumn>
    <tableColumn id="2" xr3:uid="{00000000-0010-0000-0C00-000002000000}" name="nr na żaglu" dataDxfId="102">
      <calculatedColumnFormula>IFERROR(IF(lista_startowa!$D88=0,"",lista_startowa!$D88),"")</calculatedColumnFormula>
    </tableColumn>
    <tableColumn id="3" xr3:uid="{00000000-0010-0000-0C00-000003000000}" name="nr startowy" dataDxfId="101">
      <calculatedColumnFormula>IFERROR(IF(lista_startowa!$E88=0,"",lista_startowa!$E88),"")</calculatedColumnFormula>
    </tableColumn>
    <tableColumn id="4" xr3:uid="{00000000-0010-0000-0C00-000004000000}" name="nazwa jachtu" dataDxfId="100">
      <calculatedColumnFormula>IFERROR(IF(lista_startowa!$F88=0,"",lista_startowa!$F88),"")</calculatedColumnFormula>
    </tableColumn>
    <tableColumn id="5" xr3:uid="{00000000-0010-0000-0C00-000005000000}" name="I" dataDxfId="99"/>
    <tableColumn id="6" xr3:uid="{00000000-0010-0000-0C00-000006000000}" name="II" dataDxfId="98"/>
    <tableColumn id="7" xr3:uid="{00000000-0010-0000-0C00-000007000000}" name="III" dataDxfId="97"/>
    <tableColumn id="8" xr3:uid="{00000000-0010-0000-0C00-000008000000}" name="IV" dataDxfId="96"/>
    <tableColumn id="9" xr3:uid="{00000000-0010-0000-0C00-000009000000}" name="V" dataDxfId="95"/>
    <tableColumn id="15" xr3:uid="{00000000-0010-0000-0C00-00000F000000}" name="VI" dataDxfId="94"/>
    <tableColumn id="14" xr3:uid="{00000000-0010-0000-0C00-00000E000000}" name="VII" dataDxfId="93"/>
    <tableColumn id="10" xr3:uid="{00000000-0010-0000-0C00-00000A000000}" name="VIII" dataDxfId="92"/>
    <tableColumn id="11" xr3:uid="{00000000-0010-0000-0C00-00000B000000}" name="IX" dataDxfId="91"/>
    <tableColumn id="12" xr3:uid="{00000000-0010-0000-0C00-00000C000000}" name="∑" dataDxfId="90">
      <calculatedColumnFormula>IF(ISBLANK(G7),"",SUM(G7:O7)+(COUNTIF(G7:O7,"DSQ")+COUNTIF(G7:O7,"DNF")+COUNTIF(G7:O7,"OCS")+COUNTIF(G7:O7,"DNC")+COUNTIF(G7:O7,"DNS")+COUNTIF(G7:O7,"DNE")+COUNTIF(G7:O7,"RET")+COUNTIF(G7:O7,"BFD")+COUNTIF(G7:O7,"UFD")+COUNTIF(G7:O7,"NSC"))*$E$14)</calculatedColumnFormula>
    </tableColumn>
    <tableColumn id="16" xr3:uid="{00000000-0010-0000-0C00-000010000000}" name="rem" dataDxfId="89"/>
    <tableColumn id="17" xr3:uid="{00000000-0010-0000-0C00-000011000000}" name="lp_lst" dataDxfId="88">
      <calculatedColumnFormula>lista_startowa!$B88</calculatedColumnFormula>
    </tableColumn>
  </tableColumns>
  <tableStyleInfo name="Styl bez ramek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WynKl6" displayName="WynKl6" ref="B6:R8" totalsRowShown="0" headerRowDxfId="87" dataDxfId="85" headerRowBorderDxfId="86" tableBorderDxfId="84" totalsRowBorderDxfId="83">
  <sortState xmlns:xlrd2="http://schemas.microsoft.com/office/spreadsheetml/2017/richdata2" ref="B7:R8">
    <sortCondition ref="P7:P8"/>
  </sortState>
  <tableColumns count="17">
    <tableColumn id="13" xr3:uid="{00000000-0010-0000-0A00-00000D000000}" name="m-ce" dataDxfId="82">
      <calculatedColumnFormula>IFERROR(VALUE(OFFSET(B7,-1,0)),0)+1</calculatedColumnFormula>
    </tableColumn>
    <tableColumn id="1" xr3:uid="{00000000-0010-0000-0A00-000001000000}" name="sternik" dataDxfId="81">
      <calculatedColumnFormula>IFERROR(IF(lista_startowa!$C73=0,"",lista_startowa!$C73),"")</calculatedColumnFormula>
    </tableColumn>
    <tableColumn id="2" xr3:uid="{00000000-0010-0000-0A00-000002000000}" name="nr na żaglu" dataDxfId="80">
      <calculatedColumnFormula>IFERROR(IF(lista_startowa!$D73=0,"",lista_startowa!$D73),"")</calculatedColumnFormula>
    </tableColumn>
    <tableColumn id="3" xr3:uid="{00000000-0010-0000-0A00-000003000000}" name="nr startowy" dataDxfId="79">
      <calculatedColumnFormula>IFERROR(IF(lista_startowa!$E73=0,"",lista_startowa!$E73),"")</calculatedColumnFormula>
    </tableColumn>
    <tableColumn id="4" xr3:uid="{00000000-0010-0000-0A00-000004000000}" name="nazwa jachtu" dataDxfId="78">
      <calculatedColumnFormula>IFERROR(IF(lista_startowa!$F73=0,"",lista_startowa!$F73),"")</calculatedColumnFormula>
    </tableColumn>
    <tableColumn id="5" xr3:uid="{00000000-0010-0000-0A00-000005000000}" name="I" dataDxfId="77"/>
    <tableColumn id="6" xr3:uid="{00000000-0010-0000-0A00-000006000000}" name="II" dataDxfId="76"/>
    <tableColumn id="7" xr3:uid="{00000000-0010-0000-0A00-000007000000}" name="III" dataDxfId="75"/>
    <tableColumn id="8" xr3:uid="{00000000-0010-0000-0A00-000008000000}" name="IV" dataDxfId="74"/>
    <tableColumn id="9" xr3:uid="{00000000-0010-0000-0A00-000009000000}" name="V" dataDxfId="73"/>
    <tableColumn id="15" xr3:uid="{00000000-0010-0000-0A00-00000F000000}" name="VI" dataDxfId="72"/>
    <tableColumn id="14" xr3:uid="{00000000-0010-0000-0A00-00000E000000}" name="VII" dataDxfId="71"/>
    <tableColumn id="10" xr3:uid="{00000000-0010-0000-0A00-00000A000000}" name="VIII" dataDxfId="70"/>
    <tableColumn id="11" xr3:uid="{00000000-0010-0000-0A00-00000B000000}" name="IX" dataDxfId="69"/>
    <tableColumn id="12" xr3:uid="{00000000-0010-0000-0A00-00000C000000}" name="∑" dataDxfId="68">
      <calculatedColumnFormula>IF(ISBLANK(G7),"",SUM(G7:O7)+(COUNTIF(G7:O7,"DSQ")+COUNTIF(G7:O7,"DNF")+COUNTIF(G7:O7,"OCS")+COUNTIF(G7:O7,"DNC")+COUNTIF(G7:O7,"DNS")+COUNTIF(G7:O7,"DNE")+COUNTIF(G7:O7,"RET")+COUNTIF(G7:O7,"BFD")+COUNTIF(G7:O7,"UFD")+COUNTIF(G7:O7,"NSC"))*$E$11)</calculatedColumnFormula>
    </tableColumn>
    <tableColumn id="16" xr3:uid="{00000000-0010-0000-0A00-000010000000}" name="rem" dataDxfId="67"/>
    <tableColumn id="17" xr3:uid="{00000000-0010-0000-0A00-000011000000}" name="lp_lst" dataDxfId="66">
      <calculatedColumnFormula>lista_startowa!$B73</calculatedColumnFormula>
    </tableColumn>
  </tableColumns>
  <tableStyleInfo name="Styl bez ramek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914E088-0301-4B6E-B726-A32ABB0DCF29}" name="WynKl718" displayName="WynKl718" ref="B6:R11" totalsRowShown="0" headerRowDxfId="65" dataDxfId="63" headerRowBorderDxfId="64" tableBorderDxfId="62" totalsRowBorderDxfId="61">
  <sortState xmlns:xlrd2="http://schemas.microsoft.com/office/spreadsheetml/2017/richdata2" ref="B7:R11">
    <sortCondition ref="P7:P11"/>
  </sortState>
  <tableColumns count="17">
    <tableColumn id="13" xr3:uid="{C2B86BAD-A7AF-487A-BEDF-ABC20C590AC3}" name="m-ce" dataDxfId="60">
      <calculatedColumnFormula>IFERROR(VALUE(OFFSET(B7,-1,0)),0)+1</calculatedColumnFormula>
    </tableColumn>
    <tableColumn id="1" xr3:uid="{15300B1A-6251-4AAC-BD9A-EC1BD1EC3B55}" name="sternik" dataDxfId="59">
      <calculatedColumnFormula>IFERROR(IF(lista_startowa!$C80=0,"",lista_startowa!$C80),"")</calculatedColumnFormula>
    </tableColumn>
    <tableColumn id="2" xr3:uid="{56574C9D-C45D-4BA1-852D-F44A8AB1F0F8}" name="nr na żaglu" dataDxfId="58">
      <calculatedColumnFormula>IFERROR(IF(lista_startowa!$D80=0,"",lista_startowa!$D80),"")</calculatedColumnFormula>
    </tableColumn>
    <tableColumn id="3" xr3:uid="{0FEA1F69-398A-4A7E-8FD0-DDB325818254}" name="nr startowy" dataDxfId="57">
      <calculatedColumnFormula>IFERROR(IF(lista_startowa!$E80=0,"",lista_startowa!$E80),"")</calculatedColumnFormula>
    </tableColumn>
    <tableColumn id="4" xr3:uid="{FAB4B519-C0C7-4AF2-AC61-02A651C3E363}" name="nazwa jachtu" dataDxfId="56">
      <calculatedColumnFormula>IFERROR(IF(lista_startowa!$F80=0,"",lista_startowa!$F80),"")</calculatedColumnFormula>
    </tableColumn>
    <tableColumn id="5" xr3:uid="{37587393-9D58-4250-BF80-D75A81A1ECF9}" name="I" dataDxfId="55"/>
    <tableColumn id="6" xr3:uid="{C77B6FCD-2492-4F93-BB40-44EF35D02AC9}" name="II" dataDxfId="54"/>
    <tableColumn id="7" xr3:uid="{BBEA224A-0168-4371-BCC2-941C649411F1}" name="III" dataDxfId="53"/>
    <tableColumn id="8" xr3:uid="{31375FB5-8EA6-4A74-BA28-446A5C3FA052}" name="IV" dataDxfId="52"/>
    <tableColumn id="9" xr3:uid="{FFB383D6-A969-4073-ACB4-B6A73C0D6CA0}" name="V" dataDxfId="51"/>
    <tableColumn id="15" xr3:uid="{C6983EB9-B07A-4899-B48B-9ADE35A541D5}" name="VI" dataDxfId="50"/>
    <tableColumn id="14" xr3:uid="{3CE8285C-31A2-4E0D-BB86-5ABACB629496}" name="VII" dataDxfId="49"/>
    <tableColumn id="10" xr3:uid="{784D815C-EA97-42F9-9F2A-E87480AAC850}" name="VIII" dataDxfId="48"/>
    <tableColumn id="11" xr3:uid="{0B17A01C-E123-41DF-A618-6B50777BCDDB}" name="IX" dataDxfId="47"/>
    <tableColumn id="12" xr3:uid="{E35D9943-69CB-4671-97BA-CE270644B34F}" name="∑" dataDxfId="46">
      <calculatedColumnFormula>IF(ISBLANK(G7),"",SUM(G7:O7)+(COUNTIF(G7:O7,"DSQ")+COUNTIF(G7:O7,"DNF")+COUNTIF(G7:O7,"OCS")+COUNTIF(G7:O7,"DNC")+COUNTIF(G7:O7,"DNS")+COUNTIF(G7:O7,"DNE")+COUNTIF(G7:O7,"RET")+COUNTIF(G7:O7,"BFD")+COUNTIF(G7:O7,"UFD")+COUNTIF(G7:O7,"NSC"))*$E$16)</calculatedColumnFormula>
    </tableColumn>
    <tableColumn id="16" xr3:uid="{753BC6AD-73B0-4B6C-BCCE-7750573FA29A}" name="rem" dataDxfId="45"/>
    <tableColumn id="17" xr3:uid="{017DB56A-4602-413A-954F-95207F4245C2}" name="lp_lst" dataDxfId="44">
      <calculatedColumnFormula>lista_startowa!$B80</calculatedColumnFormula>
    </tableColumn>
  </tableColumns>
  <tableStyleInfo name="Styl bez ramek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6225B37-ED67-45D8-8AA4-9B61CDD1F7D0}" name="WynKl719" displayName="WynKl719" ref="B6:R9" totalsRowShown="0" headerRowDxfId="43" dataDxfId="41" headerRowBorderDxfId="42" tableBorderDxfId="40" totalsRowBorderDxfId="39">
  <sortState xmlns:xlrd2="http://schemas.microsoft.com/office/spreadsheetml/2017/richdata2" ref="B7:R9">
    <sortCondition ref="R8:R9"/>
  </sortState>
  <tableColumns count="17">
    <tableColumn id="13" xr3:uid="{637D2ADC-9591-465D-9EEF-99974740B43F}" name="m-ce" dataDxfId="38">
      <calculatedColumnFormula>IFERROR(VALUE(OFFSET(B7,-1,0)),0)+1</calculatedColumnFormula>
    </tableColumn>
    <tableColumn id="1" xr3:uid="{A71F4A24-BBB0-4EDD-9AE9-845824BF0790}" name="sternik" dataDxfId="37">
      <calculatedColumnFormula>IFERROR(IF(lista_startowa!$C80=0,"",lista_startowa!$C80),"")</calculatedColumnFormula>
    </tableColumn>
    <tableColumn id="2" xr3:uid="{A0DF523E-710B-4297-B915-29427E7F11F1}" name="nr na żaglu" dataDxfId="36">
      <calculatedColumnFormula>IFERROR(IF(lista_startowa!$D80=0,"",lista_startowa!$D80),"")</calculatedColumnFormula>
    </tableColumn>
    <tableColumn id="3" xr3:uid="{1F2F40B2-5D9C-4F5D-A6C8-7F100CDA1593}" name="nr startowy" dataDxfId="35">
      <calculatedColumnFormula>IFERROR(IF(lista_startowa!$E80=0,"",lista_startowa!$E80),"")</calculatedColumnFormula>
    </tableColumn>
    <tableColumn id="4" xr3:uid="{820CC81F-161A-4F3F-BE68-7A9DBFA0B745}" name="nazwa jachtu" dataDxfId="34">
      <calculatedColumnFormula>IFERROR(IF(lista_startowa!$F80=0,"",lista_startowa!$F80),"")</calculatedColumnFormula>
    </tableColumn>
    <tableColumn id="5" xr3:uid="{37796A1D-F4D2-483B-AD20-364B9D228BFC}" name="I" dataDxfId="33"/>
    <tableColumn id="6" xr3:uid="{C3472736-B20A-45CC-8B90-EBE45A198D03}" name="II" dataDxfId="32"/>
    <tableColumn id="7" xr3:uid="{891CEDBC-875A-4785-88FB-869863EFF8B9}" name="III" dataDxfId="31"/>
    <tableColumn id="8" xr3:uid="{1C43E41B-9AC6-431B-9760-FFDF7877DFE6}" name="IV" dataDxfId="30"/>
    <tableColumn id="9" xr3:uid="{2496D9FC-F8EE-48F2-BC96-484710C4A7C0}" name="V" dataDxfId="29"/>
    <tableColumn id="15" xr3:uid="{0CC43BAE-1C27-43A0-813E-0CCE7B0D6584}" name="VI" dataDxfId="28"/>
    <tableColumn id="14" xr3:uid="{BE1B6692-777E-4DEF-8F77-80BB12071DA6}" name="VII" dataDxfId="27"/>
    <tableColumn id="10" xr3:uid="{555DD8B4-933D-4DA0-A284-EBD2FFD134D5}" name="VIII" dataDxfId="26"/>
    <tableColumn id="11" xr3:uid="{4C64AA1B-85AC-411E-9A02-1B3476B238B8}" name="IX" dataDxfId="25"/>
    <tableColumn id="12" xr3:uid="{49BDD1E7-086B-4F0F-9D38-2A9A6AF833EF}" name="∑" dataDxfId="24">
      <calculatedColumnFormula>IF(ISBLANK(G7),"",SUM(G7:O7)+(COUNTIF(G7:O7,"DSQ")+COUNTIF(G7:O7,"DNF")+COUNTIF(G7:O7,"OCS")+COUNTIF(G7:O7,"DNC")+COUNTIF(G7:O7,"DNS")+COUNTIF(G7:O7,"DNE")+COUNTIF(G7:O7,"RET")+COUNTIF(G7:O7,"BFD")+COUNTIF(G7:O7,"UFD")+COUNTIF(G7:O7,"NSC"))*$E$12)</calculatedColumnFormula>
    </tableColumn>
    <tableColumn id="16" xr3:uid="{FDD17ACF-0F19-4A8A-8F8A-11EF113D560A}" name="rem" dataDxfId="23"/>
    <tableColumn id="17" xr3:uid="{2EF0F820-04B8-4072-9051-46B8CD9D88FB}" name="lp_lst" dataDxfId="22">
      <calculatedColumnFormula>lista_startowa!$B80</calculatedColumnFormula>
    </tableColumn>
  </tableColumns>
  <tableStyleInfo name="Styl bez ramek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5FE7DA4-F36E-41AD-8F42-DA78652756A8}" name="WynKl720" displayName="WynKl720" ref="B6:R7" totalsRowShown="0" headerRowDxfId="21" dataDxfId="19" headerRowBorderDxfId="20" tableBorderDxfId="18" totalsRowBorderDxfId="17">
  <sortState xmlns:xlrd2="http://schemas.microsoft.com/office/spreadsheetml/2017/richdata2" ref="B7:R7">
    <sortCondition ref="P7"/>
  </sortState>
  <tableColumns count="17">
    <tableColumn id="13" xr3:uid="{155EE616-83C6-4706-8CDB-5D4601D4E634}" name="m-ce" dataDxfId="16">
      <calculatedColumnFormula>IFERROR(VALUE(OFFSET(B7,-1,0)),0)+1</calculatedColumnFormula>
    </tableColumn>
    <tableColumn id="1" xr3:uid="{EEE049CA-612C-4015-A7A9-5A8F9BDEA983}" name="sternik" dataDxfId="15">
      <calculatedColumnFormula>IFERROR(IF(lista_startowa!$C80=0,"",lista_startowa!$C80),"")</calculatedColumnFormula>
    </tableColumn>
    <tableColumn id="2" xr3:uid="{7D503676-219A-4976-8791-2EFDF6482472}" name="nr na żaglu" dataDxfId="14">
      <calculatedColumnFormula>IFERROR(IF(lista_startowa!$D80=0,"",lista_startowa!$D80),"")</calculatedColumnFormula>
    </tableColumn>
    <tableColumn id="3" xr3:uid="{68B55FAA-ECB0-4F1B-9F70-A909C415E9C9}" name="nr startowy" dataDxfId="13">
      <calculatedColumnFormula>IFERROR(IF(lista_startowa!$E80=0,"",lista_startowa!$E80),"")</calculatedColumnFormula>
    </tableColumn>
    <tableColumn id="4" xr3:uid="{9EEBE2FD-6E0B-47BA-B729-F62BB3FB32DA}" name="nazwa jachtu" dataDxfId="12">
      <calculatedColumnFormula>IFERROR(IF(lista_startowa!$F80=0,"",lista_startowa!$F80),"")</calculatedColumnFormula>
    </tableColumn>
    <tableColumn id="5" xr3:uid="{384C21D2-2E8E-40D0-BEAF-ACA55DA75475}" name="I" dataDxfId="11"/>
    <tableColumn id="6" xr3:uid="{0FD6CA6C-3DF3-4489-9D1F-61F71CE42ACB}" name="II" dataDxfId="10"/>
    <tableColumn id="7" xr3:uid="{58F41BEA-B0C4-43D9-B0FD-753D426B86B9}" name="III" dataDxfId="9"/>
    <tableColumn id="8" xr3:uid="{55833D8C-BB64-4963-BE44-8D3C2AD2DFE0}" name="IV" dataDxfId="8"/>
    <tableColumn id="9" xr3:uid="{E7E58E88-3F17-4508-8456-07609819C159}" name="V" dataDxfId="7"/>
    <tableColumn id="15" xr3:uid="{CF93764A-819E-43BE-9A07-8AF955BBE2BA}" name="VI" dataDxfId="6"/>
    <tableColumn id="14" xr3:uid="{9FD9EE1E-D10F-40D5-BAFD-76B92DEDBE4B}" name="VII" dataDxfId="5"/>
    <tableColumn id="10" xr3:uid="{7D9CDDF0-4867-4223-BCA7-303B0EF37B47}" name="VIII" dataDxfId="4"/>
    <tableColumn id="11" xr3:uid="{1A53C52C-71B5-4CED-AD24-4E60C71BCE7F}" name="IX" dataDxfId="3"/>
    <tableColumn id="12" xr3:uid="{280616D4-F620-479E-B939-CED67B2C790A}" name="∑" dataDxfId="2">
      <calculatedColumnFormula>IF(ISBLANK(G7),"",SUM(G7:O7)+(COUNTIF(G7:O7,"DSQ")+COUNTIF(G7:O7,"DNF")+COUNTIF(G7:O7,"OCS")+COUNTIF(G7:O7,"DNC")+COUNTIF(G7:O7,"DNS")+COUNTIF(G7:O7,"DNE")+COUNTIF(G7:O7,"RET")+COUNTIF(G7:O7,"BFD")+COUNTIF(G7:O7,"UFD")+COUNTIF(G7:O7,"NSC"))*$E$18)</calculatedColumnFormula>
    </tableColumn>
    <tableColumn id="16" xr3:uid="{3A5FCE20-D19F-48C0-A14D-041620FE9F7E}" name="rem" dataDxfId="1"/>
    <tableColumn id="17" xr3:uid="{D7F2CA74-EE41-4C27-B86B-FB83E538E617}" name="lp_lst" dataDxfId="0">
      <calculatedColumnFormula>lista_startowa!$B80</calculatedColumnFormula>
    </tableColumn>
  </tableColumns>
  <tableStyleInfo name="Styl bez ramek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Tkl4" displayName="STkl4" ref="B46:F55" totalsRowShown="0" headerRowDxfId="386" dataDxfId="384" headerRowBorderDxfId="385" tableBorderDxfId="383" totalsRowBorderDxfId="382">
  <tableColumns count="5">
    <tableColumn id="1" xr3:uid="{00000000-0010-0000-0100-000001000000}" name="lp." dataDxfId="381">
      <calculatedColumnFormula>IFERROR(VALUE(OFFSET(B47,-1,0)),0)+1</calculatedColumnFormula>
    </tableColumn>
    <tableColumn id="2" xr3:uid="{00000000-0010-0000-0100-000002000000}" name="sternik" dataDxfId="380"/>
    <tableColumn id="7" xr3:uid="{00000000-0010-0000-0100-000007000000}" name="nr na żaglu" dataDxfId="379"/>
    <tableColumn id="4" xr3:uid="{00000000-0010-0000-0100-000004000000}" name="nr startowy" dataDxfId="378"/>
    <tableColumn id="5" xr3:uid="{00000000-0010-0000-0100-000005000000}" name="nazwa jachtu" dataDxfId="377"/>
  </tableColumns>
  <tableStyleInfo name="Styl bez ramek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STkl5" displayName="STkl5" ref="B60:F67" totalsRowShown="0" headerRowDxfId="376" dataDxfId="374" headerRowBorderDxfId="375" tableBorderDxfId="373" totalsRowBorderDxfId="372">
  <tableColumns count="5">
    <tableColumn id="1" xr3:uid="{00000000-0010-0000-0200-000001000000}" name="lp." dataDxfId="371">
      <calculatedColumnFormula>IFERROR(VALUE(OFFSET(B61,-1,0)),0)+1</calculatedColumnFormula>
    </tableColumn>
    <tableColumn id="2" xr3:uid="{00000000-0010-0000-0200-000002000000}" name="sternik" dataDxfId="370"/>
    <tableColumn id="7" xr3:uid="{00000000-0010-0000-0200-000007000000}" name="nr na żaglu" dataDxfId="369"/>
    <tableColumn id="4" xr3:uid="{00000000-0010-0000-0200-000004000000}" name="nr startowy" dataDxfId="368"/>
    <tableColumn id="5" xr3:uid="{00000000-0010-0000-0200-000005000000}" name="nazwa jachtu" dataDxfId="367"/>
  </tableColumns>
  <tableStyleInfo name="Styl bez ramek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STkl6" displayName="STkl6" ref="B72:F74" totalsRowShown="0" headerRowDxfId="366" dataDxfId="364" headerRowBorderDxfId="365" tableBorderDxfId="363" totalsRowBorderDxfId="362">
  <tableColumns count="5">
    <tableColumn id="1" xr3:uid="{00000000-0010-0000-0300-000001000000}" name="lp." dataDxfId="361">
      <calculatedColumnFormula>IFERROR(VALUE(OFFSET(B73,-1,0)),0)+1</calculatedColumnFormula>
    </tableColumn>
    <tableColumn id="2" xr3:uid="{00000000-0010-0000-0300-000002000000}" name="sternik" dataDxfId="360"/>
    <tableColumn id="7" xr3:uid="{00000000-0010-0000-0300-000007000000}" name="nr na żaglu" dataDxfId="359"/>
    <tableColumn id="4" xr3:uid="{00000000-0010-0000-0300-000004000000}" name="nr startowy" dataDxfId="358"/>
    <tableColumn id="5" xr3:uid="{00000000-0010-0000-0300-000005000000}" name="nazwa jachtu" dataDxfId="357"/>
  </tableColumns>
  <tableStyleInfo name="Styl bez ramek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STkl7" displayName="STkl7" ref="B79:F82" totalsRowShown="0" headerRowDxfId="356" dataDxfId="354" headerRowBorderDxfId="355" tableBorderDxfId="353" totalsRowBorderDxfId="352">
  <tableColumns count="5">
    <tableColumn id="1" xr3:uid="{00000000-0010-0000-0400-000001000000}" name="lp." dataDxfId="351">
      <calculatedColumnFormula>IFERROR(VALUE(OFFSET(B80,-1,0)),0)+1</calculatedColumnFormula>
    </tableColumn>
    <tableColumn id="2" xr3:uid="{00000000-0010-0000-0400-000002000000}" name="sternik" dataDxfId="350"/>
    <tableColumn id="7" xr3:uid="{00000000-0010-0000-0400-000007000000}" name="nr na żaglu" dataDxfId="349"/>
    <tableColumn id="4" xr3:uid="{00000000-0010-0000-0400-000004000000}" name="nr startowy" dataDxfId="348"/>
    <tableColumn id="5" xr3:uid="{00000000-0010-0000-0400-000005000000}" name="nazwa jachtu" dataDxfId="347"/>
  </tableColumns>
  <tableStyleInfo name="Styl bez ramek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STkl3" displayName="STkl3" ref="B39:F41" totalsRowShown="0" headerRowDxfId="346" dataDxfId="344" headerRowBorderDxfId="345" tableBorderDxfId="343" totalsRowBorderDxfId="342">
  <tableColumns count="5">
    <tableColumn id="1" xr3:uid="{00000000-0010-0000-0500-000001000000}" name="lp." dataDxfId="341">
      <calculatedColumnFormula>IFERROR(VALUE(OFFSET(B40,-1,0)),0)+1</calculatedColumnFormula>
    </tableColumn>
    <tableColumn id="2" xr3:uid="{00000000-0010-0000-0500-000002000000}" name="sternik" dataDxfId="340"/>
    <tableColumn id="7" xr3:uid="{00000000-0010-0000-0500-000007000000}" name="nr na żaglu" dataDxfId="339"/>
    <tableColumn id="4" xr3:uid="{00000000-0010-0000-0500-000004000000}" name="nr startowy" dataDxfId="338"/>
    <tableColumn id="5" xr3:uid="{00000000-0010-0000-0500-000005000000}" name="nazwa jachtu" dataDxfId="337"/>
  </tableColumns>
  <tableStyleInfo name="Styl bez ramek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76B2620-49F0-40F6-B549-9B58422E1662}" name="STkl2" displayName="STkl2" ref="B29:G34" totalsRowShown="0" headerRowDxfId="336" headerRowBorderDxfId="335" tableBorderDxfId="334" totalsRowBorderDxfId="333">
  <tableColumns count="6">
    <tableColumn id="1" xr3:uid="{C8D4E9A5-B335-41B6-BDB8-74931D285F92}" name="lp." dataDxfId="332">
      <calculatedColumnFormula>IFERROR(VALUE(OFFSET(B30,-1,0)),0)+1</calculatedColumnFormula>
    </tableColumn>
    <tableColumn id="2" xr3:uid="{82CF96D7-2603-440E-91F1-651E9CAA434C}" name="nr na żaglu" dataDxfId="331"/>
    <tableColumn id="3" xr3:uid="{AF90FDF0-BFB7-445C-BC87-16782C8EF1B0}" name="sternik" dataDxfId="330"/>
    <tableColumn id="4" xr3:uid="{C313FBFD-0B1C-4222-83FB-453190911B40}" name="nr na żaglu/burcie" dataDxfId="329"/>
    <tableColumn id="5" xr3:uid="{985A4BED-3724-4C33-81E0-6A2E4D3F99AE}" name="Nazwa jachtu" dataDxfId="328"/>
    <tableColumn id="6" xr3:uid="{12648768-F6B2-4060-99B9-0497DC48E701}" name="Vi" dataDxfId="327"/>
  </tableColumns>
  <tableStyleInfo name="Styl bez ramek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97B0F36-7F71-4AF0-8141-65C1B82F92CE}" name="STkl8" displayName="STkl8" ref="B87:F92" totalsRowShown="0" headerRowDxfId="326" headerRowBorderDxfId="325" tableBorderDxfId="324" totalsRowBorderDxfId="323">
  <tableColumns count="5">
    <tableColumn id="1" xr3:uid="{CCDA65AA-5771-47A6-A0B9-9062262F1B46}" name="lp." dataDxfId="322">
      <calculatedColumnFormula>IFERROR(VALUE(OFFSET(B88,-1,0)),0)+1</calculatedColumnFormula>
    </tableColumn>
    <tableColumn id="2" xr3:uid="{55D2644D-BA43-4FDC-B79F-B8C7B8C25557}" name="sternik" dataDxfId="321"/>
    <tableColumn id="3" xr3:uid="{D6512EF8-5BD9-4ED1-943C-B5324AD70F2D}" name="nr na żaglu" dataDxfId="320"/>
    <tableColumn id="4" xr3:uid="{FD6CE245-8080-439E-991C-AAF116562A4E}" name="nr startowy" dataDxfId="319"/>
    <tableColumn id="5" xr3:uid="{38E17F9B-6A8D-4DC2-82CA-19EE72468FE2}" name="nazwa jachtu" dataDxfId="318"/>
  </tableColumns>
  <tableStyleInfo name="Styl bez ramek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WynKl1" displayName="WynKl1" ref="B6:AK24" totalsRowShown="0" headerRowDxfId="317" dataDxfId="316">
  <sortState xmlns:xlrd2="http://schemas.microsoft.com/office/spreadsheetml/2017/richdata2" ref="B7:AK24">
    <sortCondition ref="AJ16:AJ24"/>
  </sortState>
  <tableColumns count="36">
    <tableColumn id="13" xr3:uid="{00000000-0010-0000-0600-00000D000000}" name="m-ce" dataDxfId="315" totalsRowDxfId="314">
      <calculatedColumnFormula>IFERROR(VALUE(OFFSET(B7,-1,0)),0)+1</calculatedColumnFormula>
    </tableColumn>
    <tableColumn id="1" xr3:uid="{00000000-0010-0000-0600-000001000000}" name="nr startowy" dataDxfId="313">
      <calculatedColumnFormula>IFERROR(IF(lista_startowa!$C7=0,"",lista_startowa!$C7),"")</calculatedColumnFormula>
    </tableColumn>
    <tableColumn id="2" xr3:uid="{00000000-0010-0000-0600-000002000000}" name="sternik" dataDxfId="312" totalsRowDxfId="311">
      <calculatedColumnFormula>IFERROR(IF(lista_startowa!$D7=0,"",lista_startowa!$D7),"")</calculatedColumnFormula>
    </tableColumn>
    <tableColumn id="3" xr3:uid="{00000000-0010-0000-0600-000003000000}" name="nr na żaglu" dataDxfId="310" totalsRowDxfId="309">
      <calculatedColumnFormula>IFERROR(IF(lista_startowa!$E7=0,"",lista_startowa!$E7),"")</calculatedColumnFormula>
    </tableColumn>
    <tableColumn id="4" xr3:uid="{00000000-0010-0000-0600-000004000000}" name="nazwa" dataDxfId="308" totalsRowDxfId="307">
      <calculatedColumnFormula>IFERROR(IF(lista_startowa!$F7=0,"",lista_startowa!$F7),"")</calculatedColumnFormula>
    </tableColumn>
    <tableColumn id="10" xr3:uid="{00000000-0010-0000-0600-00000A000000}" name="Vi" dataDxfId="306" totalsRowDxfId="305">
      <calculatedColumnFormula>IFERROR(IF(lista_startowa!$G7=0,"",lista_startowa!$G7),"")</calculatedColumnFormula>
    </tableColumn>
    <tableColumn id="18" xr3:uid="{00000000-0010-0000-0600-000012000000}" name="Tr1" dataDxfId="304" totalsRowDxfId="303"/>
    <tableColumn id="19" xr3:uid="{00000000-0010-0000-0600-000013000000}" name="Tsk1" dataDxfId="302">
      <calculatedColumnFormula>IF(WynKl1[[#This Row],[Tr1]]="","",IFERROR(WynKl1[[#This Row],[Tr1]]*3600*(WynKl1[[#This Row],[Vi]]/(SUMIFS(WynKl1[Vi],WynKl1[Tr1],"&gt;00:00:00")/COUNTA(WynKl1[Tr1])))/3600,""))</calculatedColumnFormula>
    </tableColumn>
    <tableColumn id="5" xr3:uid="{00000000-0010-0000-0600-000005000000}" name="W1" dataDxfId="301" totalsRowDxfId="300">
      <calculatedColumnFormula>IFERROR(_xlfn.RANK.EQ(WynKl1[[#This Row],[Tsk1]],WynKl1[Tsk1],1),"")</calculatedColumnFormula>
    </tableColumn>
    <tableColumn id="11" xr3:uid="{00000000-0010-0000-0600-00000B000000}" name="Tr2" dataDxfId="299" totalsRowDxfId="298"/>
    <tableColumn id="20" xr3:uid="{00000000-0010-0000-0600-000014000000}" name="Tsk2" dataDxfId="297" totalsRowDxfId="296">
      <calculatedColumnFormula>IF(WynKl1[[#This Row],[Tr2]]="","",IFERROR(WynKl1[[#This Row],[Tr2]]*3600*(WynKl1[[#This Row],[Vi]]/(SUMIFS(WynKl1[Vi],WynKl1[Tr2],"&gt;00:00:00")/COUNTA(WynKl1[Tr2])))/3600,""))</calculatedColumnFormula>
    </tableColumn>
    <tableColumn id="6" xr3:uid="{00000000-0010-0000-0600-000006000000}" name="W2" dataDxfId="295" totalsRowDxfId="294">
      <calculatedColumnFormula>IFERROR(_xlfn.RANK.EQ(WynKl1[[#This Row],[Tsk2]],WynKl1[Tsk2],1),"")</calculatedColumnFormula>
    </tableColumn>
    <tableColumn id="22" xr3:uid="{00000000-0010-0000-0600-000016000000}" name="Tr3" dataDxfId="293" totalsRowDxfId="292"/>
    <tableColumn id="21" xr3:uid="{00000000-0010-0000-0600-000015000000}" name="Tsk3" dataDxfId="291" totalsRowDxfId="290">
      <calculatedColumnFormula>IF(WynKl1[[#This Row],[Tr3]]="","",IFERROR(WynKl1[[#This Row],[Tr3]]*3600*(WynKl1[[#This Row],[Vi]]/(SUMIFS(WynKl1[Vi],WynKl1[Tr3],"&gt;00:00:00")/COUNTA(WynKl1[Tr3])))/3600,""))</calculatedColumnFormula>
    </tableColumn>
    <tableColumn id="7" xr3:uid="{00000000-0010-0000-0600-000007000000}" name="W3" dataDxfId="289" totalsRowDxfId="288">
      <calculatedColumnFormula>IFERROR(_xlfn.RANK.EQ(WynKl1[[#This Row],[Tsk3]],WynKl1[Tsk3],1),"")</calculatedColumnFormula>
    </tableColumn>
    <tableColumn id="24" xr3:uid="{00000000-0010-0000-0600-000018000000}" name="Tr4" dataDxfId="287" totalsRowDxfId="286"/>
    <tableColumn id="23" xr3:uid="{00000000-0010-0000-0600-000017000000}" name="Tsk4" dataDxfId="285" totalsRowDxfId="284">
      <calculatedColumnFormula>IF(WynKl1[[#This Row],[Tr4]]="","",IFERROR(WynKl1[[#This Row],[Tr4]]*3600*(WynKl1[[#This Row],[Vi]]/(SUMIFS(WynKl1[Vi],WynKl1[Tr4],"&gt;00:00:00")/COUNTA(WynKl1[Tr4])))/3600,""))</calculatedColumnFormula>
    </tableColumn>
    <tableColumn id="8" xr3:uid="{00000000-0010-0000-0600-000008000000}" name="W4" dataDxfId="283" totalsRowDxfId="282">
      <calculatedColumnFormula>IFERROR(_xlfn.RANK.EQ(WynKl1[[#This Row],[Tsk4]],WynKl1[Tsk4],1),"")</calculatedColumnFormula>
    </tableColumn>
    <tableColumn id="26" xr3:uid="{00000000-0010-0000-0600-00001A000000}" name="Tr5" dataDxfId="281" totalsRowDxfId="280"/>
    <tableColumn id="25" xr3:uid="{00000000-0010-0000-0600-000019000000}" name="Tsk5" dataDxfId="279" totalsRowDxfId="278">
      <calculatedColumnFormula>IF(WynKl1[[#This Row],[Tr5]]="","",IFERROR(WynKl1[[#This Row],[Tr5]]*3600*(WynKl1[[#This Row],[Vi]]/(SUMIFS(WynKl1[Vi],WynKl1[Tr5],"&gt;00:00:00")/COUNTA(WynKl1[Tr5])))/3600,""))</calculatedColumnFormula>
    </tableColumn>
    <tableColumn id="9" xr3:uid="{00000000-0010-0000-0600-000009000000}" name="W5" dataDxfId="277" totalsRowDxfId="276">
      <calculatedColumnFormula>IFERROR(_xlfn.RANK.EQ(WynKl1[[#This Row],[Tsk5]],WynKl1[Tsk5],1),"")</calculatedColumnFormula>
    </tableColumn>
    <tableColumn id="28" xr3:uid="{00000000-0010-0000-0600-00001C000000}" name="Tr6" dataDxfId="275" totalsRowDxfId="274"/>
    <tableColumn id="27" xr3:uid="{00000000-0010-0000-0600-00001B000000}" name="Tsk6" dataDxfId="273" totalsRowDxfId="272">
      <calculatedColumnFormula>IF(WynKl1[[#This Row],[Tr6]]="","",IFERROR(WynKl1[[#This Row],[Tr6]]*3600*(WynKl1[[#This Row],[Vi]]/(SUMIFS(WynKl1[Vi],WynKl1[Tr6],"&gt;00:00:00")/COUNTA(WynKl1[Tr6])))/3600,""))</calculatedColumnFormula>
    </tableColumn>
    <tableColumn id="15" xr3:uid="{00000000-0010-0000-0600-00000F000000}" name="W6" dataDxfId="271" totalsRowDxfId="270">
      <calculatedColumnFormula>IFERROR(_xlfn.RANK.EQ(WynKl1[[#This Row],[Tsk6]],WynKl1[Tsk6],1),"")</calculatedColumnFormula>
    </tableColumn>
    <tableColumn id="30" xr3:uid="{00000000-0010-0000-0600-00001E000000}" name="Tr7" dataDxfId="269"/>
    <tableColumn id="29" xr3:uid="{00000000-0010-0000-0600-00001D000000}" name="Tsk7" dataDxfId="268">
      <calculatedColumnFormula>IF(WynKl1[[#This Row],[Tr7]]="","",IFERROR(WynKl1[[#This Row],[Tr7]]*3600*(WynKl1[[#This Row],[Vi]]/(SUMIFS(WynKl1[Vi],WynKl1[Tr7],"&gt;00:00:00")/COUNTA(WynKl1[Tr7])))/3600,""))</calculatedColumnFormula>
    </tableColumn>
    <tableColumn id="14" xr3:uid="{00000000-0010-0000-0600-00000E000000}" name="W7" dataDxfId="267">
      <calculatedColumnFormula>IFERROR(_xlfn.RANK.EQ(WynKl1[[#This Row],[Tsk7]],WynKl1[Tsk7],1),"")</calculatedColumnFormula>
    </tableColumn>
    <tableColumn id="33" xr3:uid="{A1940C55-EF75-45AC-A95B-BFCCCBC83F85}" name="Tr8" dataDxfId="266"/>
    <tableColumn id="32" xr3:uid="{3565B776-1D4F-48D6-A7BA-53C67E643E02}" name="Tsk8" dataDxfId="265">
      <calculatedColumnFormula>IF(WynKl1[[#This Row],[Tr8]]="","",IFERROR(WynKl1[[#This Row],[Tr8]]*3600*(WynKl1[[#This Row],[Vi]]/(SUMIFS(WynKl1[Vi],WynKl1[Tr8],"&gt;00:00:00")/COUNTA(WynKl1[Tr8])))/3600,""))</calculatedColumnFormula>
    </tableColumn>
    <tableColumn id="31" xr3:uid="{69350378-05F2-4529-B974-9C809782D0F0}" name="W8" dataDxfId="264">
      <calculatedColumnFormula>IFERROR(_xlfn.RANK.EQ(WynKl1[[#This Row],[Tsk8]],WynKl1[Tsk8],1),"")</calculatedColumnFormula>
    </tableColumn>
    <tableColumn id="36" xr3:uid="{8B1712B5-2F99-432E-92A2-3159977918A5}" name="Tr9" dataDxfId="263"/>
    <tableColumn id="35" xr3:uid="{88D8F8F6-87AA-4D72-A84C-494E888490EB}" name="Tsk9" dataDxfId="262">
      <calculatedColumnFormula>IF(WynKl1[[#This Row],[Tr9]]="","",IFERROR(WynKl1[[#This Row],[Tr9]]*3600*(WynKl1[[#This Row],[Vi]]/(SUMIFS(WynKl1[Vi],WynKl1[Tr9],"&gt;00:00:00")/COUNTA(WynKl1[Tr9])))/3600,""))</calculatedColumnFormula>
    </tableColumn>
    <tableColumn id="34" xr3:uid="{B33A2E05-E3FE-4690-8662-99915566E139}" name="W9" dataDxfId="261">
      <calculatedColumnFormula>IFERROR(_xlfn.RANK.EQ(WynKl1[[#This Row],[Tsk9]],WynKl1[Tsk9],1),"")</calculatedColumnFormula>
    </tableColumn>
    <tableColumn id="12" xr3:uid="{00000000-0010-0000-0600-00000C000000}" name="∑" dataDxfId="260" totalsRowDxfId="259">
      <calculatedColumnFormula>IF(J7="","",IF(ISBLANK(J7),"",SUM(J7,M7,P7,S7,V7,Y7,AB7,AE7,AH7)+SUM(COUNTIF(J7:AH7,"DSQ"),COUNTIF(J7:AH7,"OCS"),COUNTIF(J7:AH7,"DNF"),COUNTIF(J7:AH7,"DNC"),COUNTIF(J7:AH7,"DNE"),COUNTIF(J7:AH7,"RET"),COUNTIF(J7:AH7,"BFD"),COUNTIF(J7:AH7,"UFD"),COUNTIF(J7:AH7,"NSC"),COUNTIF(J7:AH7,"DNS"))*$E$27))</calculatedColumnFormula>
    </tableColumn>
    <tableColumn id="17" xr3:uid="{00000000-0010-0000-0600-000011000000}" name="rem" dataDxfId="258" totalsRowDxfId="257"/>
    <tableColumn id="16" xr3:uid="{00000000-0010-0000-0600-000010000000}" name="lp_lst" dataDxfId="256" totalsRowDxfId="255">
      <calculatedColumnFormula>IFERROR(IF(lista_startowa!$B7=0,"",lista_startowa!$B7),"")</calculatedColumnFormula>
    </tableColumn>
  </tableColumns>
  <tableStyleInfo name="Styl bez ramek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G95"/>
  <sheetViews>
    <sheetView showGridLines="0" topLeftCell="A20" zoomScale="130" zoomScaleNormal="130" zoomScaleSheetLayoutView="130" workbookViewId="0">
      <selection activeCell="C27" sqref="C27"/>
    </sheetView>
  </sheetViews>
  <sheetFormatPr defaultRowHeight="15" x14ac:dyDescent="0.25"/>
  <cols>
    <col min="1" max="1" width="2.42578125" customWidth="1"/>
    <col min="2" max="2" width="5.5703125" style="2" customWidth="1"/>
    <col min="3" max="3" width="20" style="2" bestFit="1" customWidth="1"/>
    <col min="4" max="4" width="22.140625" style="9" customWidth="1"/>
    <col min="5" max="5" width="17.28515625" style="2" customWidth="1"/>
    <col min="6" max="6" width="32.5703125" style="2" customWidth="1"/>
    <col min="7" max="7" width="9.140625" style="4"/>
  </cols>
  <sheetData>
    <row r="1" spans="2:7" ht="23.25" x14ac:dyDescent="0.25">
      <c r="B1" s="99" t="s">
        <v>14</v>
      </c>
      <c r="C1" s="99"/>
      <c r="D1" s="99"/>
      <c r="E1" s="99"/>
      <c r="F1" s="99"/>
    </row>
    <row r="2" spans="2:7" ht="5.25" customHeight="1" x14ac:dyDescent="0.25"/>
    <row r="3" spans="2:7" ht="26.25" customHeight="1" x14ac:dyDescent="0.25">
      <c r="B3" s="100" t="s">
        <v>67</v>
      </c>
      <c r="C3" s="100"/>
      <c r="D3" s="100"/>
      <c r="E3" s="100"/>
      <c r="F3" s="100"/>
    </row>
    <row r="4" spans="2:7" ht="15.75" customHeight="1" x14ac:dyDescent="0.25">
      <c r="B4" s="101" t="s">
        <v>66</v>
      </c>
      <c r="C4" s="101"/>
      <c r="D4" s="101"/>
      <c r="E4" s="101"/>
      <c r="F4" s="101"/>
    </row>
    <row r="5" spans="2:7" ht="15" customHeight="1" x14ac:dyDescent="0.25">
      <c r="B5" s="5" t="s">
        <v>57</v>
      </c>
      <c r="E5" s="27"/>
      <c r="F5" s="98">
        <f ca="1">NOW()</f>
        <v>45445.610514004627</v>
      </c>
      <c r="G5" s="98"/>
    </row>
    <row r="6" spans="2:7" x14ac:dyDescent="0.25">
      <c r="B6" s="83" t="s">
        <v>13</v>
      </c>
      <c r="C6" s="84" t="s">
        <v>24</v>
      </c>
      <c r="D6" s="85" t="s">
        <v>0</v>
      </c>
      <c r="E6" s="84" t="s">
        <v>61</v>
      </c>
      <c r="F6" s="84" t="s">
        <v>60</v>
      </c>
      <c r="G6" s="86" t="s">
        <v>29</v>
      </c>
    </row>
    <row r="7" spans="2:7" x14ac:dyDescent="0.25">
      <c r="B7" s="87">
        <f t="shared" ref="B7:B24" ca="1" si="0">IFERROR(VALUE(OFFSET(B7,-1,0)),0)+1</f>
        <v>1</v>
      </c>
      <c r="C7" s="88" t="s">
        <v>69</v>
      </c>
      <c r="D7" s="80" t="s">
        <v>70</v>
      </c>
      <c r="E7" s="81"/>
      <c r="F7" s="81" t="s">
        <v>71</v>
      </c>
      <c r="G7" s="89">
        <v>4.62</v>
      </c>
    </row>
    <row r="8" spans="2:7" x14ac:dyDescent="0.25">
      <c r="B8" s="87">
        <f t="shared" ca="1" si="0"/>
        <v>2</v>
      </c>
      <c r="C8" s="82" t="s">
        <v>73</v>
      </c>
      <c r="D8" s="80" t="s">
        <v>74</v>
      </c>
      <c r="E8" s="81"/>
      <c r="F8" s="81" t="s">
        <v>72</v>
      </c>
      <c r="G8" s="89">
        <v>4.78</v>
      </c>
    </row>
    <row r="9" spans="2:7" x14ac:dyDescent="0.25">
      <c r="B9" s="87">
        <f t="shared" ca="1" si="0"/>
        <v>3</v>
      </c>
      <c r="C9" s="82" t="s">
        <v>75</v>
      </c>
      <c r="D9" s="80" t="s">
        <v>76</v>
      </c>
      <c r="E9" s="81"/>
      <c r="F9" s="81" t="s">
        <v>77</v>
      </c>
      <c r="G9" s="89">
        <v>4.3</v>
      </c>
    </row>
    <row r="10" spans="2:7" x14ac:dyDescent="0.25">
      <c r="B10" s="87">
        <f t="shared" ca="1" si="0"/>
        <v>4</v>
      </c>
      <c r="C10" s="82" t="s">
        <v>78</v>
      </c>
      <c r="D10" s="80" t="s">
        <v>79</v>
      </c>
      <c r="E10" s="81"/>
      <c r="F10" s="81" t="s">
        <v>80</v>
      </c>
      <c r="G10" s="89">
        <v>4.6500000000000004</v>
      </c>
    </row>
    <row r="11" spans="2:7" x14ac:dyDescent="0.25">
      <c r="B11" s="87">
        <f t="shared" ca="1" si="0"/>
        <v>5</v>
      </c>
      <c r="C11" s="82" t="s">
        <v>81</v>
      </c>
      <c r="D11" s="80" t="s">
        <v>82</v>
      </c>
      <c r="E11" s="81"/>
      <c r="F11" s="81" t="s">
        <v>83</v>
      </c>
      <c r="G11" s="89">
        <v>5</v>
      </c>
    </row>
    <row r="12" spans="2:7" x14ac:dyDescent="0.25">
      <c r="B12" s="87">
        <f t="shared" ca="1" si="0"/>
        <v>6</v>
      </c>
      <c r="C12" s="82" t="s">
        <v>88</v>
      </c>
      <c r="D12" s="80" t="s">
        <v>90</v>
      </c>
      <c r="E12" s="81"/>
      <c r="F12" s="81" t="s">
        <v>89</v>
      </c>
      <c r="G12" s="89">
        <v>4.96</v>
      </c>
    </row>
    <row r="13" spans="2:7" x14ac:dyDescent="0.25">
      <c r="B13" s="87">
        <f t="shared" ca="1" si="0"/>
        <v>7</v>
      </c>
      <c r="C13" s="82" t="s">
        <v>91</v>
      </c>
      <c r="D13" s="80" t="s">
        <v>92</v>
      </c>
      <c r="E13" s="81" t="s">
        <v>93</v>
      </c>
      <c r="F13" s="81"/>
      <c r="G13" s="89">
        <v>4.6500000000000004</v>
      </c>
    </row>
    <row r="14" spans="2:7" x14ac:dyDescent="0.25">
      <c r="B14" s="87">
        <f t="shared" ca="1" si="0"/>
        <v>8</v>
      </c>
      <c r="C14" s="82" t="s">
        <v>98</v>
      </c>
      <c r="D14" s="80" t="s">
        <v>99</v>
      </c>
      <c r="E14" s="81"/>
      <c r="F14" s="81" t="s">
        <v>100</v>
      </c>
      <c r="G14" s="89">
        <v>4.6399999999999997</v>
      </c>
    </row>
    <row r="15" spans="2:7" x14ac:dyDescent="0.25">
      <c r="B15" s="87">
        <f t="shared" ca="1" si="0"/>
        <v>9</v>
      </c>
      <c r="C15" s="82" t="s">
        <v>106</v>
      </c>
      <c r="D15" s="80" t="s">
        <v>107</v>
      </c>
      <c r="E15" s="81"/>
      <c r="F15" s="81" t="s">
        <v>108</v>
      </c>
      <c r="G15" s="89">
        <v>4.6500000000000004</v>
      </c>
    </row>
    <row r="16" spans="2:7" x14ac:dyDescent="0.25">
      <c r="B16" s="87">
        <f t="shared" ca="1" si="0"/>
        <v>10</v>
      </c>
      <c r="C16" s="82" t="s">
        <v>109</v>
      </c>
      <c r="D16" s="80" t="s">
        <v>110</v>
      </c>
      <c r="E16" s="81"/>
      <c r="F16" s="81" t="s">
        <v>111</v>
      </c>
      <c r="G16" s="89">
        <v>4.6500000000000004</v>
      </c>
    </row>
    <row r="17" spans="2:7" x14ac:dyDescent="0.25">
      <c r="B17" s="87">
        <f t="shared" ca="1" si="0"/>
        <v>11</v>
      </c>
      <c r="C17" s="82" t="s">
        <v>119</v>
      </c>
      <c r="D17" s="80" t="s">
        <v>117</v>
      </c>
      <c r="E17" s="81"/>
      <c r="F17" s="81" t="s">
        <v>120</v>
      </c>
      <c r="G17" s="89">
        <v>4.63</v>
      </c>
    </row>
    <row r="18" spans="2:7" x14ac:dyDescent="0.25">
      <c r="B18" s="87">
        <f t="shared" ca="1" si="0"/>
        <v>12</v>
      </c>
      <c r="C18" s="82" t="s">
        <v>122</v>
      </c>
      <c r="D18" s="80" t="s">
        <v>123</v>
      </c>
      <c r="E18" s="81"/>
      <c r="F18" s="81" t="s">
        <v>124</v>
      </c>
      <c r="G18" s="89">
        <v>5.03</v>
      </c>
    </row>
    <row r="19" spans="2:7" x14ac:dyDescent="0.25">
      <c r="B19" s="87">
        <f t="shared" ca="1" si="0"/>
        <v>13</v>
      </c>
      <c r="C19" s="82" t="s">
        <v>125</v>
      </c>
      <c r="D19" s="80" t="s">
        <v>144</v>
      </c>
      <c r="E19" s="81"/>
      <c r="F19" s="81" t="s">
        <v>126</v>
      </c>
      <c r="G19" s="89">
        <v>4.62</v>
      </c>
    </row>
    <row r="20" spans="2:7" x14ac:dyDescent="0.25">
      <c r="B20" s="87">
        <f t="shared" ca="1" si="0"/>
        <v>14</v>
      </c>
      <c r="C20" s="79">
        <v>21</v>
      </c>
      <c r="D20" s="80" t="s">
        <v>134</v>
      </c>
      <c r="E20" s="81"/>
      <c r="F20" s="81" t="s">
        <v>135</v>
      </c>
      <c r="G20" s="89">
        <v>4.55</v>
      </c>
    </row>
    <row r="21" spans="2:7" x14ac:dyDescent="0.25">
      <c r="B21" s="87">
        <f t="shared" ca="1" si="0"/>
        <v>15</v>
      </c>
      <c r="C21" s="79">
        <v>17</v>
      </c>
      <c r="D21" s="80" t="s">
        <v>142</v>
      </c>
      <c r="E21" s="81"/>
      <c r="F21" s="81" t="s">
        <v>143</v>
      </c>
      <c r="G21" s="89">
        <v>4.28</v>
      </c>
    </row>
    <row r="22" spans="2:7" x14ac:dyDescent="0.25">
      <c r="B22" s="87">
        <f t="shared" ca="1" si="0"/>
        <v>16</v>
      </c>
      <c r="C22" s="79">
        <v>29</v>
      </c>
      <c r="D22" s="80" t="s">
        <v>114</v>
      </c>
      <c r="E22" s="81"/>
      <c r="F22" s="81" t="s">
        <v>115</v>
      </c>
      <c r="G22" s="89">
        <v>4.96</v>
      </c>
    </row>
    <row r="23" spans="2:7" x14ac:dyDescent="0.25">
      <c r="B23" s="87">
        <f t="shared" ca="1" si="0"/>
        <v>17</v>
      </c>
      <c r="C23" s="79">
        <v>30</v>
      </c>
      <c r="D23" s="80" t="s">
        <v>112</v>
      </c>
      <c r="E23" s="81"/>
      <c r="F23" s="81" t="s">
        <v>113</v>
      </c>
      <c r="G23" s="89">
        <v>5.0599999999999996</v>
      </c>
    </row>
    <row r="24" spans="2:7" x14ac:dyDescent="0.25">
      <c r="B24" s="90">
        <f t="shared" ca="1" si="0"/>
        <v>18</v>
      </c>
      <c r="C24" s="91" t="s">
        <v>136</v>
      </c>
      <c r="D24" s="92" t="s">
        <v>137</v>
      </c>
      <c r="E24" s="93"/>
      <c r="F24" s="93" t="s">
        <v>138</v>
      </c>
      <c r="G24" s="94">
        <v>4.9800000000000004</v>
      </c>
    </row>
    <row r="25" spans="2:7" x14ac:dyDescent="0.25">
      <c r="E25" s="4"/>
      <c r="F25" s="4"/>
    </row>
    <row r="26" spans="2:7" ht="15" customHeight="1" x14ac:dyDescent="0.25">
      <c r="E26" s="4"/>
      <c r="F26" s="102" t="s">
        <v>12</v>
      </c>
      <c r="G26" s="102"/>
    </row>
    <row r="27" spans="2:7" x14ac:dyDescent="0.25">
      <c r="E27" s="4"/>
      <c r="F27" s="102" t="s">
        <v>59</v>
      </c>
      <c r="G27" s="102"/>
    </row>
    <row r="28" spans="2:7" x14ac:dyDescent="0.25">
      <c r="B28" s="5" t="s">
        <v>58</v>
      </c>
      <c r="E28" s="27"/>
      <c r="F28" s="97">
        <f ca="1">NOW()</f>
        <v>45445.610514004627</v>
      </c>
      <c r="G28" s="97"/>
    </row>
    <row r="29" spans="2:7" x14ac:dyDescent="0.25">
      <c r="B29" s="39" t="s">
        <v>13</v>
      </c>
      <c r="C29" s="40" t="s">
        <v>1</v>
      </c>
      <c r="D29" s="59" t="s">
        <v>0</v>
      </c>
      <c r="E29" s="40" t="s">
        <v>61</v>
      </c>
      <c r="F29" s="40" t="s">
        <v>60</v>
      </c>
      <c r="G29" s="60" t="s">
        <v>29</v>
      </c>
    </row>
    <row r="30" spans="2:7" x14ac:dyDescent="0.25">
      <c r="B30" s="61">
        <f ca="1">IFERROR(VALUE(OFFSET(B30,-1,0)),0)+1</f>
        <v>1</v>
      </c>
      <c r="C30" s="71" t="s">
        <v>84</v>
      </c>
      <c r="D30" s="62" t="s">
        <v>85</v>
      </c>
      <c r="E30" s="23" t="s">
        <v>87</v>
      </c>
      <c r="F30" s="23" t="s">
        <v>86</v>
      </c>
      <c r="G30" s="63">
        <v>6.57</v>
      </c>
    </row>
    <row r="31" spans="2:7" x14ac:dyDescent="0.25">
      <c r="B31" s="61">
        <f ca="1">IFERROR(VALUE(OFFSET(B31,-1,0)),0)+1</f>
        <v>2</v>
      </c>
      <c r="C31" s="70" t="s">
        <v>101</v>
      </c>
      <c r="D31" s="69" t="s">
        <v>102</v>
      </c>
      <c r="E31" s="23" t="s">
        <v>103</v>
      </c>
      <c r="F31" s="23" t="s">
        <v>104</v>
      </c>
      <c r="G31" s="63">
        <v>6.6</v>
      </c>
    </row>
    <row r="32" spans="2:7" x14ac:dyDescent="0.25">
      <c r="B32" s="61">
        <f ca="1">IFERROR(VALUE(OFFSET(B32,-1,0)),0)+1</f>
        <v>3</v>
      </c>
      <c r="C32" s="70" t="s">
        <v>94</v>
      </c>
      <c r="D32" s="68" t="s">
        <v>95</v>
      </c>
      <c r="E32" s="23" t="s">
        <v>96</v>
      </c>
      <c r="F32" s="23" t="s">
        <v>97</v>
      </c>
      <c r="G32" s="63">
        <v>6.6</v>
      </c>
    </row>
    <row r="33" spans="2:7" x14ac:dyDescent="0.25">
      <c r="B33" s="61">
        <f ca="1">IFERROR(VALUE(OFFSET(B33,-1,0)),0)+1</f>
        <v>4</v>
      </c>
      <c r="C33" s="70" t="s">
        <v>139</v>
      </c>
      <c r="D33" s="68" t="s">
        <v>140</v>
      </c>
      <c r="E33" s="23"/>
      <c r="F33" s="23" t="s">
        <v>141</v>
      </c>
      <c r="G33" s="63">
        <v>6.08</v>
      </c>
    </row>
    <row r="34" spans="2:7" x14ac:dyDescent="0.25">
      <c r="B34" s="61">
        <f ca="1">IFERROR(VALUE(OFFSET(B34,-1,0)),0)+1</f>
        <v>5</v>
      </c>
      <c r="C34" s="70" t="s">
        <v>131</v>
      </c>
      <c r="D34" s="74" t="s">
        <v>132</v>
      </c>
      <c r="E34" s="23"/>
      <c r="F34" s="23" t="s">
        <v>133</v>
      </c>
      <c r="G34" s="63">
        <v>6.43</v>
      </c>
    </row>
    <row r="35" spans="2:7" x14ac:dyDescent="0.25">
      <c r="B35" s="6"/>
      <c r="C35" s="9"/>
      <c r="G35" s="10"/>
    </row>
    <row r="36" spans="2:7" x14ac:dyDescent="0.25">
      <c r="E36" s="4"/>
      <c r="F36" s="102" t="str">
        <f>F26</f>
        <v>Sędzia Główny</v>
      </c>
      <c r="G36" s="102"/>
    </row>
    <row r="37" spans="2:7" x14ac:dyDescent="0.25">
      <c r="E37" s="4"/>
      <c r="F37" s="102" t="str">
        <f>F27</f>
        <v>Jarek Bazylko</v>
      </c>
      <c r="G37" s="102"/>
    </row>
    <row r="38" spans="2:7" x14ac:dyDescent="0.25">
      <c r="B38" s="5" t="s">
        <v>21</v>
      </c>
      <c r="E38" s="97">
        <f ca="1">NOW()</f>
        <v>45445.610514004627</v>
      </c>
      <c r="F38" s="97"/>
    </row>
    <row r="39" spans="2:7" x14ac:dyDescent="0.25">
      <c r="B39" s="39" t="s">
        <v>13</v>
      </c>
      <c r="C39" s="40" t="s">
        <v>0</v>
      </c>
      <c r="D39" s="59" t="s">
        <v>1</v>
      </c>
      <c r="E39" s="40" t="s">
        <v>24</v>
      </c>
      <c r="F39" s="60" t="s">
        <v>27</v>
      </c>
    </row>
    <row r="40" spans="2:7" x14ac:dyDescent="0.25">
      <c r="B40" s="61">
        <f ca="1">IFERROR(VALUE(OFFSET(B40,-1,0)),0)+1</f>
        <v>1</v>
      </c>
      <c r="C40" s="25" t="s">
        <v>76</v>
      </c>
      <c r="D40" s="62"/>
      <c r="E40" s="25">
        <v>18</v>
      </c>
      <c r="F40" s="64" t="s">
        <v>77</v>
      </c>
    </row>
    <row r="41" spans="2:7" x14ac:dyDescent="0.25">
      <c r="B41" s="61">
        <f ca="1">IFERROR(VALUE(OFFSET(B41,-1,0)),0)+1</f>
        <v>2</v>
      </c>
      <c r="C41" s="25" t="s">
        <v>142</v>
      </c>
      <c r="D41" s="62"/>
      <c r="E41" s="25">
        <v>17</v>
      </c>
      <c r="F41" s="64" t="s">
        <v>143</v>
      </c>
    </row>
    <row r="43" spans="2:7" ht="15" customHeight="1" x14ac:dyDescent="0.25">
      <c r="F43" s="2" t="str">
        <f>F26</f>
        <v>Sędzia Główny</v>
      </c>
    </row>
    <row r="44" spans="2:7" x14ac:dyDescent="0.25">
      <c r="F44" s="2" t="str">
        <f>F27</f>
        <v>Jarek Bazylko</v>
      </c>
    </row>
    <row r="45" spans="2:7" x14ac:dyDescent="0.25">
      <c r="B45" s="5" t="s">
        <v>22</v>
      </c>
      <c r="E45" s="97">
        <f ca="1">NOW()</f>
        <v>45445.610514004627</v>
      </c>
      <c r="F45" s="97"/>
    </row>
    <row r="46" spans="2:7" x14ac:dyDescent="0.25">
      <c r="B46" s="65" t="s">
        <v>13</v>
      </c>
      <c r="C46" s="40" t="s">
        <v>0</v>
      </c>
      <c r="D46" s="59" t="s">
        <v>1</v>
      </c>
      <c r="E46" s="40" t="s">
        <v>24</v>
      </c>
      <c r="F46" s="60" t="s">
        <v>27</v>
      </c>
    </row>
    <row r="47" spans="2:7" x14ac:dyDescent="0.25">
      <c r="B47" s="61">
        <f t="shared" ref="B47:B55" ca="1" si="1">IFERROR(VALUE(OFFSET(B47,-1,0)),0)+1</f>
        <v>1</v>
      </c>
      <c r="C47" s="31" t="s">
        <v>70</v>
      </c>
      <c r="D47" s="66"/>
      <c r="E47" s="31">
        <v>70</v>
      </c>
      <c r="F47" s="67" t="s">
        <v>71</v>
      </c>
    </row>
    <row r="48" spans="2:7" x14ac:dyDescent="0.25">
      <c r="B48" s="61">
        <f t="shared" ca="1" si="1"/>
        <v>2</v>
      </c>
      <c r="C48" s="31" t="s">
        <v>79</v>
      </c>
      <c r="D48" s="66"/>
      <c r="E48" s="31">
        <v>1</v>
      </c>
      <c r="F48" s="67" t="s">
        <v>80</v>
      </c>
    </row>
    <row r="49" spans="2:6" x14ac:dyDescent="0.25">
      <c r="B49" s="61">
        <f t="shared" ca="1" si="1"/>
        <v>3</v>
      </c>
      <c r="C49" s="31" t="s">
        <v>92</v>
      </c>
      <c r="D49" s="66" t="s">
        <v>93</v>
      </c>
      <c r="E49" s="31">
        <v>40</v>
      </c>
      <c r="F49" s="67"/>
    </row>
    <row r="50" spans="2:6" x14ac:dyDescent="0.25">
      <c r="B50" s="61">
        <f t="shared" ca="1" si="1"/>
        <v>4</v>
      </c>
      <c r="C50" s="31" t="s">
        <v>99</v>
      </c>
      <c r="D50" s="66"/>
      <c r="E50" s="31">
        <v>38</v>
      </c>
      <c r="F50" s="67" t="s">
        <v>100</v>
      </c>
    </row>
    <row r="51" spans="2:6" x14ac:dyDescent="0.25">
      <c r="B51" s="61">
        <f t="shared" ca="1" si="1"/>
        <v>5</v>
      </c>
      <c r="C51" s="31" t="s">
        <v>107</v>
      </c>
      <c r="D51" s="66"/>
      <c r="E51" s="31">
        <v>36</v>
      </c>
      <c r="F51" s="67" t="s">
        <v>108</v>
      </c>
    </row>
    <row r="52" spans="2:6" x14ac:dyDescent="0.25">
      <c r="B52" s="61">
        <f t="shared" ca="1" si="1"/>
        <v>6</v>
      </c>
      <c r="C52" s="31" t="s">
        <v>110</v>
      </c>
      <c r="D52" s="66"/>
      <c r="E52" s="31">
        <v>35</v>
      </c>
      <c r="F52" s="67" t="s">
        <v>111</v>
      </c>
    </row>
    <row r="53" spans="2:6" x14ac:dyDescent="0.25">
      <c r="B53" s="61">
        <f t="shared" ca="1" si="1"/>
        <v>7</v>
      </c>
      <c r="C53" s="31" t="s">
        <v>117</v>
      </c>
      <c r="D53" s="66"/>
      <c r="E53" s="31">
        <v>23</v>
      </c>
      <c r="F53" s="67" t="s">
        <v>121</v>
      </c>
    </row>
    <row r="54" spans="2:6" x14ac:dyDescent="0.25">
      <c r="B54" s="61">
        <f t="shared" ca="1" si="1"/>
        <v>8</v>
      </c>
      <c r="C54" s="31" t="s">
        <v>144</v>
      </c>
      <c r="D54" s="66"/>
      <c r="E54" s="31">
        <v>45</v>
      </c>
      <c r="F54" s="67" t="s">
        <v>126</v>
      </c>
    </row>
    <row r="55" spans="2:6" x14ac:dyDescent="0.25">
      <c r="B55" s="61">
        <f t="shared" ca="1" si="1"/>
        <v>9</v>
      </c>
      <c r="C55" s="31" t="s">
        <v>134</v>
      </c>
      <c r="D55" s="66"/>
      <c r="E55" s="31">
        <v>21</v>
      </c>
      <c r="F55" s="67" t="s">
        <v>135</v>
      </c>
    </row>
    <row r="57" spans="2:6" ht="15" customHeight="1" x14ac:dyDescent="0.25">
      <c r="F57" s="2" t="str">
        <f>F26</f>
        <v>Sędzia Główny</v>
      </c>
    </row>
    <row r="58" spans="2:6" x14ac:dyDescent="0.25">
      <c r="F58" s="2" t="str">
        <f>F27</f>
        <v>Jarek Bazylko</v>
      </c>
    </row>
    <row r="59" spans="2:6" x14ac:dyDescent="0.25">
      <c r="B59" s="5" t="s">
        <v>23</v>
      </c>
      <c r="E59" s="97">
        <f ca="1">NOW()</f>
        <v>45445.610514004627</v>
      </c>
      <c r="F59" s="97"/>
    </row>
    <row r="60" spans="2:6" x14ac:dyDescent="0.25">
      <c r="B60" s="65" t="s">
        <v>13</v>
      </c>
      <c r="C60" s="40" t="s">
        <v>0</v>
      </c>
      <c r="D60" s="59" t="s">
        <v>1</v>
      </c>
      <c r="E60" s="40" t="s">
        <v>24</v>
      </c>
      <c r="F60" s="60" t="s">
        <v>27</v>
      </c>
    </row>
    <row r="61" spans="2:6" x14ac:dyDescent="0.25">
      <c r="B61" s="61">
        <f t="shared" ref="B61:B67" ca="1" si="2">IFERROR(VALUE(OFFSET(B61,-1,0)),0)+1</f>
        <v>1</v>
      </c>
      <c r="C61" s="31" t="s">
        <v>74</v>
      </c>
      <c r="D61" s="66"/>
      <c r="E61" s="31">
        <v>50</v>
      </c>
      <c r="F61" s="67" t="s">
        <v>72</v>
      </c>
    </row>
    <row r="62" spans="2:6" x14ac:dyDescent="0.25">
      <c r="B62" s="61">
        <f t="shared" ca="1" si="2"/>
        <v>2</v>
      </c>
      <c r="C62" s="31" t="s">
        <v>82</v>
      </c>
      <c r="D62" s="66"/>
      <c r="E62" s="31">
        <v>42</v>
      </c>
      <c r="F62" s="67" t="s">
        <v>83</v>
      </c>
    </row>
    <row r="63" spans="2:6" x14ac:dyDescent="0.25">
      <c r="B63" s="61">
        <f t="shared" ca="1" si="2"/>
        <v>3</v>
      </c>
      <c r="C63" s="31" t="s">
        <v>90</v>
      </c>
      <c r="D63" s="66"/>
      <c r="E63" s="31">
        <v>24</v>
      </c>
      <c r="F63" s="23" t="s">
        <v>89</v>
      </c>
    </row>
    <row r="64" spans="2:6" x14ac:dyDescent="0.25">
      <c r="B64" s="61">
        <f t="shared" ca="1" si="2"/>
        <v>4</v>
      </c>
      <c r="C64" s="31" t="s">
        <v>112</v>
      </c>
      <c r="D64" s="66"/>
      <c r="E64" s="31">
        <v>30</v>
      </c>
      <c r="F64" s="67" t="s">
        <v>113</v>
      </c>
    </row>
    <row r="65" spans="2:7" x14ac:dyDescent="0.25">
      <c r="B65" s="61">
        <f t="shared" ca="1" si="2"/>
        <v>5</v>
      </c>
      <c r="C65" s="31" t="s">
        <v>114</v>
      </c>
      <c r="D65" s="66"/>
      <c r="E65" s="31">
        <v>29</v>
      </c>
      <c r="F65" s="67" t="s">
        <v>115</v>
      </c>
    </row>
    <row r="66" spans="2:7" x14ac:dyDescent="0.25">
      <c r="B66" s="61">
        <f t="shared" ca="1" si="2"/>
        <v>6</v>
      </c>
      <c r="C66" s="31" t="s">
        <v>123</v>
      </c>
      <c r="D66" s="66"/>
      <c r="E66" s="31">
        <v>26</v>
      </c>
      <c r="F66" s="67" t="s">
        <v>124</v>
      </c>
    </row>
    <row r="67" spans="2:7" x14ac:dyDescent="0.25">
      <c r="B67" s="61">
        <f t="shared" ca="1" si="2"/>
        <v>7</v>
      </c>
      <c r="C67" s="31" t="s">
        <v>137</v>
      </c>
      <c r="D67" s="66"/>
      <c r="E67" s="31">
        <v>20</v>
      </c>
      <c r="F67" s="67" t="s">
        <v>138</v>
      </c>
    </row>
    <row r="69" spans="2:7" ht="15" customHeight="1" x14ac:dyDescent="0.25">
      <c r="F69" s="2" t="str">
        <f>F26</f>
        <v>Sędzia Główny</v>
      </c>
    </row>
    <row r="70" spans="2:7" x14ac:dyDescent="0.25">
      <c r="F70" s="2" t="str">
        <f>F27</f>
        <v>Jarek Bazylko</v>
      </c>
    </row>
    <row r="71" spans="2:7" x14ac:dyDescent="0.25">
      <c r="B71" s="5" t="s">
        <v>25</v>
      </c>
      <c r="E71" s="97">
        <f ca="1">NOW()</f>
        <v>45445.610514004627</v>
      </c>
      <c r="F71" s="97"/>
    </row>
    <row r="72" spans="2:7" x14ac:dyDescent="0.25">
      <c r="B72" s="65" t="s">
        <v>13</v>
      </c>
      <c r="C72" s="40" t="s">
        <v>0</v>
      </c>
      <c r="D72" s="59" t="s">
        <v>1</v>
      </c>
      <c r="E72" s="40" t="s">
        <v>24</v>
      </c>
      <c r="F72" s="60" t="s">
        <v>27</v>
      </c>
    </row>
    <row r="73" spans="2:7" x14ac:dyDescent="0.25">
      <c r="B73" s="61">
        <f ca="1">IFERROR(VALUE(OFFSET(B73,-1,0)),0)+1</f>
        <v>1</v>
      </c>
      <c r="C73" s="31" t="s">
        <v>127</v>
      </c>
      <c r="D73" s="66" t="s">
        <v>129</v>
      </c>
      <c r="E73" s="31">
        <v>28</v>
      </c>
      <c r="F73" s="67" t="s">
        <v>128</v>
      </c>
    </row>
    <row r="74" spans="2:7" x14ac:dyDescent="0.25">
      <c r="B74" s="61">
        <f ca="1">IFERROR(VALUE(OFFSET(B74,-1,0)),0)+1</f>
        <v>2</v>
      </c>
      <c r="C74" s="31" t="s">
        <v>130</v>
      </c>
      <c r="D74" s="66"/>
      <c r="E74" s="31">
        <v>27</v>
      </c>
      <c r="F74" s="67"/>
    </row>
    <row r="76" spans="2:7" ht="15" customHeight="1" x14ac:dyDescent="0.25">
      <c r="F76" s="2" t="str">
        <f>F26</f>
        <v>Sędzia Główny</v>
      </c>
    </row>
    <row r="77" spans="2:7" x14ac:dyDescent="0.25">
      <c r="F77" s="2" t="str">
        <f>F27</f>
        <v>Jarek Bazylko</v>
      </c>
    </row>
    <row r="78" spans="2:7" x14ac:dyDescent="0.25">
      <c r="B78" s="5" t="s">
        <v>26</v>
      </c>
      <c r="C78" s="2" t="s">
        <v>68</v>
      </c>
      <c r="E78" s="97">
        <f ca="1">NOW()</f>
        <v>45445.610514004627</v>
      </c>
      <c r="F78" s="97"/>
    </row>
    <row r="79" spans="2:7" x14ac:dyDescent="0.25">
      <c r="B79" s="65" t="s">
        <v>13</v>
      </c>
      <c r="C79" s="40" t="s">
        <v>0</v>
      </c>
      <c r="D79" s="59" t="s">
        <v>1</v>
      </c>
      <c r="E79" s="40" t="s">
        <v>24</v>
      </c>
      <c r="F79" s="60" t="s">
        <v>27</v>
      </c>
      <c r="G79"/>
    </row>
    <row r="80" spans="2:7" x14ac:dyDescent="0.25">
      <c r="B80" s="61">
        <f t="shared" ref="B80:B82" ca="1" si="3">IFERROR(VALUE(OFFSET(B80,-1,0)),0)+1</f>
        <v>1</v>
      </c>
      <c r="C80" s="31" t="s">
        <v>85</v>
      </c>
      <c r="D80" s="66" t="s">
        <v>105</v>
      </c>
      <c r="E80" s="31">
        <v>41</v>
      </c>
      <c r="F80" s="67" t="s">
        <v>86</v>
      </c>
      <c r="G80"/>
    </row>
    <row r="81" spans="2:7" x14ac:dyDescent="0.25">
      <c r="B81" s="61">
        <f t="shared" ca="1" si="3"/>
        <v>2</v>
      </c>
      <c r="C81" s="31" t="s">
        <v>95</v>
      </c>
      <c r="D81" s="66" t="s">
        <v>96</v>
      </c>
      <c r="E81" s="31">
        <v>39</v>
      </c>
      <c r="F81" s="67" t="s">
        <v>97</v>
      </c>
      <c r="G81"/>
    </row>
    <row r="82" spans="2:7" x14ac:dyDescent="0.25">
      <c r="B82" s="61">
        <f t="shared" ca="1" si="3"/>
        <v>3</v>
      </c>
      <c r="C82" s="31" t="s">
        <v>102</v>
      </c>
      <c r="D82" s="66" t="s">
        <v>103</v>
      </c>
      <c r="E82" s="31">
        <v>37</v>
      </c>
      <c r="F82" s="67" t="s">
        <v>104</v>
      </c>
      <c r="G82"/>
    </row>
    <row r="84" spans="2:7" ht="15" customHeight="1" x14ac:dyDescent="0.25">
      <c r="F84" s="2" t="str">
        <f>F26</f>
        <v>Sędzia Główny</v>
      </c>
    </row>
    <row r="85" spans="2:7" x14ac:dyDescent="0.25">
      <c r="F85" s="2" t="str">
        <f>F27</f>
        <v>Jarek Bazylko</v>
      </c>
    </row>
    <row r="86" spans="2:7" x14ac:dyDescent="0.25">
      <c r="B86" s="5" t="s">
        <v>28</v>
      </c>
      <c r="E86" s="97">
        <f ca="1">NOW()</f>
        <v>45445.610514004627</v>
      </c>
      <c r="F86" s="97"/>
    </row>
    <row r="87" spans="2:7" x14ac:dyDescent="0.25">
      <c r="B87" s="65" t="s">
        <v>13</v>
      </c>
      <c r="C87" s="40" t="s">
        <v>0</v>
      </c>
      <c r="D87" s="59" t="s">
        <v>1</v>
      </c>
      <c r="E87" s="40" t="s">
        <v>24</v>
      </c>
      <c r="F87" s="60" t="s">
        <v>27</v>
      </c>
    </row>
    <row r="88" spans="2:7" x14ac:dyDescent="0.25">
      <c r="B88" s="61">
        <f ca="1">IFERROR(VALUE(OFFSET(B88,-1,0)),0)+1</f>
        <v>1</v>
      </c>
      <c r="C88" s="31" t="s">
        <v>85</v>
      </c>
      <c r="D88" s="66" t="s">
        <v>105</v>
      </c>
      <c r="E88" s="31">
        <v>41</v>
      </c>
      <c r="F88" s="67" t="s">
        <v>86</v>
      </c>
    </row>
    <row r="89" spans="2:7" x14ac:dyDescent="0.25">
      <c r="B89" s="61">
        <f ca="1">IFERROR(VALUE(OFFSET(B89,-1,0)),0)+1</f>
        <v>2</v>
      </c>
      <c r="C89" s="31" t="s">
        <v>95</v>
      </c>
      <c r="D89" s="66" t="s">
        <v>96</v>
      </c>
      <c r="E89" s="31">
        <v>39</v>
      </c>
      <c r="F89" s="67" t="s">
        <v>97</v>
      </c>
    </row>
    <row r="90" spans="2:7" x14ac:dyDescent="0.25">
      <c r="B90" s="61">
        <f ca="1">IFERROR(VALUE(OFFSET(B90,-1,0)),0)+1</f>
        <v>3</v>
      </c>
      <c r="C90" s="31" t="s">
        <v>102</v>
      </c>
      <c r="D90" s="66" t="s">
        <v>103</v>
      </c>
      <c r="E90" s="31">
        <v>37</v>
      </c>
      <c r="F90" s="67" t="s">
        <v>104</v>
      </c>
    </row>
    <row r="91" spans="2:7" x14ac:dyDescent="0.25">
      <c r="B91" s="61">
        <f ca="1">IFERROR(VALUE(OFFSET(B91,-1,0)),0)+1</f>
        <v>4</v>
      </c>
      <c r="C91" s="31" t="s">
        <v>140</v>
      </c>
      <c r="D91" s="66"/>
      <c r="E91" s="31">
        <v>19</v>
      </c>
      <c r="F91" s="67" t="s">
        <v>141</v>
      </c>
    </row>
    <row r="92" spans="2:7" x14ac:dyDescent="0.25">
      <c r="B92" s="61">
        <f ca="1">IFERROR(VALUE(OFFSET(B92,-1,0)),0)+1</f>
        <v>5</v>
      </c>
      <c r="C92" s="31" t="s">
        <v>132</v>
      </c>
      <c r="D92" s="66"/>
      <c r="E92" s="31">
        <v>22</v>
      </c>
      <c r="F92" s="67" t="s">
        <v>133</v>
      </c>
    </row>
    <row r="94" spans="2:7" x14ac:dyDescent="0.25">
      <c r="F94" s="2" t="str">
        <f>F43</f>
        <v>Sędzia Główny</v>
      </c>
    </row>
    <row r="95" spans="2:7" x14ac:dyDescent="0.25">
      <c r="F95" s="2" t="str">
        <f>F44</f>
        <v>Jarek Bazylko</v>
      </c>
    </row>
  </sheetData>
  <mergeCells count="15">
    <mergeCell ref="F28:G28"/>
    <mergeCell ref="F5:G5"/>
    <mergeCell ref="E86:F86"/>
    <mergeCell ref="B1:F1"/>
    <mergeCell ref="B3:F3"/>
    <mergeCell ref="E71:F71"/>
    <mergeCell ref="E78:F78"/>
    <mergeCell ref="E38:F38"/>
    <mergeCell ref="E45:F45"/>
    <mergeCell ref="E59:F59"/>
    <mergeCell ref="B4:F4"/>
    <mergeCell ref="F36:G36"/>
    <mergeCell ref="F37:G37"/>
    <mergeCell ref="F26:G26"/>
    <mergeCell ref="F27:G27"/>
  </mergeCells>
  <printOptions horizontalCentered="1"/>
  <pageMargins left="0.31496062992125984" right="0.27559055118110237" top="0.39370078740157483" bottom="0.39370078740157483" header="0.31496062992125984" footer="0.31496062992125984"/>
  <pageSetup paperSize="9" scale="96" fitToHeight="0" orientation="portrait" r:id="rId1"/>
  <rowBreaks count="7" manualBreakCount="7">
    <brk id="27" min="1" max="6" man="1"/>
    <brk id="37" min="1" max="5" man="1"/>
    <brk id="44" min="1" max="5" man="1"/>
    <brk id="58" min="1" max="5" man="1"/>
    <brk id="70" min="1" max="5" man="1"/>
    <brk id="77" min="1" max="5" man="1"/>
    <brk id="85" min="1" max="5" man="1"/>
  </rowBreaks>
  <colBreaks count="1" manualBreakCount="1">
    <brk id="1" max="1048575" man="1"/>
  </col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9B49-C290-4839-A98E-CF355220F40F}">
  <sheetPr>
    <pageSetUpPr fitToPage="1"/>
  </sheetPr>
  <dimension ref="B1:R15"/>
  <sheetViews>
    <sheetView zoomScaleNormal="100" zoomScaleSheetLayoutView="100" workbookViewId="0">
      <selection activeCell="J21" sqref="J21"/>
    </sheetView>
  </sheetViews>
  <sheetFormatPr defaultRowHeight="15" x14ac:dyDescent="0.25"/>
  <cols>
    <col min="1" max="1" width="3" style="7" customWidth="1"/>
    <col min="2" max="2" width="7.5703125" style="2" customWidth="1"/>
    <col min="3" max="3" width="20" style="7" customWidth="1"/>
    <col min="4" max="4" width="14.140625" style="7" customWidth="1"/>
    <col min="5" max="5" width="13.140625" style="2" customWidth="1"/>
    <col min="6" max="6" width="31.28515625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">
        <v>63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6"/>
    </row>
    <row r="6" spans="2:18" ht="22.5" customHeight="1" x14ac:dyDescent="0.25">
      <c r="B6" s="48" t="s">
        <v>10</v>
      </c>
      <c r="C6" s="49" t="s">
        <v>0</v>
      </c>
      <c r="D6" s="49" t="s">
        <v>1</v>
      </c>
      <c r="E6" s="49" t="s">
        <v>24</v>
      </c>
      <c r="F6" s="49" t="s">
        <v>27</v>
      </c>
      <c r="G6" s="49" t="s">
        <v>2</v>
      </c>
      <c r="H6" s="49" t="s">
        <v>3</v>
      </c>
      <c r="I6" s="49" t="s">
        <v>4</v>
      </c>
      <c r="J6" s="49" t="s">
        <v>5</v>
      </c>
      <c r="K6" s="49" t="s">
        <v>6</v>
      </c>
      <c r="L6" s="49" t="s">
        <v>7</v>
      </c>
      <c r="M6" s="49" t="s">
        <v>8</v>
      </c>
      <c r="N6" s="49" t="s">
        <v>17</v>
      </c>
      <c r="O6" s="49" t="s">
        <v>16</v>
      </c>
      <c r="P6" s="50" t="s">
        <v>9</v>
      </c>
      <c r="Q6" s="51" t="s">
        <v>18</v>
      </c>
      <c r="R6" s="52" t="s">
        <v>19</v>
      </c>
    </row>
    <row r="7" spans="2:18" x14ac:dyDescent="0.25">
      <c r="B7" s="53">
        <f ca="1">IFERROR(VALUE(OFFSET(B7,-1,0)),0)+1</f>
        <v>1</v>
      </c>
      <c r="C7" s="54" t="str">
        <f>IFERROR(IF(lista_startowa!$C81=0,"",lista_startowa!$C81),"")</f>
        <v>Kamil Jakowanis</v>
      </c>
      <c r="D7" s="54" t="str">
        <f>IFERROR(IF(lista_startowa!$D81=0,"",lista_startowa!$D81),"")</f>
        <v>POL 200</v>
      </c>
      <c r="E7" s="55">
        <f>IFERROR(IF(lista_startowa!$E81=0,"",lista_startowa!$E81),"")</f>
        <v>39</v>
      </c>
      <c r="F7" s="56" t="str">
        <f>IFERROR(IF(lista_startowa!$F81=0,"",lista_startowa!$F81),"")</f>
        <v>DREWNOBUDOWA</v>
      </c>
      <c r="G7" s="55"/>
      <c r="H7" s="55"/>
      <c r="I7" s="55"/>
      <c r="J7" s="55"/>
      <c r="K7" s="55"/>
      <c r="L7" s="55"/>
      <c r="M7" s="55"/>
      <c r="N7" s="55"/>
      <c r="O7" s="55"/>
      <c r="P7" s="55" t="str">
        <f>IF(ISBLANK(G7),"",SUM(G7:O7)+(COUNTIF(G7:O7,"DSQ")+COUNTIF(G7:O7,"DNF")+COUNTIF(G7:O7,"OCS")+COUNTIF(G7:O7,"DNC")+COUNTIF(G7:O7,"DNS")+COUNTIF(G7:O7,"DNE")+COUNTIF(G7:O7,"RET")+COUNTIF(G7:O7,"BFD")+COUNTIF(G7:O7,"UFD")+COUNTIF(G7:O7,"NSC"))*$E$14)</f>
        <v/>
      </c>
      <c r="Q7" s="75"/>
      <c r="R7" s="58">
        <f ca="1">lista_startowa!$B80</f>
        <v>1</v>
      </c>
    </row>
    <row r="8" spans="2:18" x14ac:dyDescent="0.25">
      <c r="B8" s="53">
        <f ca="1">IFERROR(VALUE(OFFSET(B8,-1,0)),0)+1</f>
        <v>2</v>
      </c>
      <c r="C8" s="54" t="str">
        <f>IFERROR(IF(lista_startowa!#REF!=0,"",lista_startowa!#REF!),"")</f>
        <v/>
      </c>
      <c r="D8" s="54" t="str">
        <f>IFERROR(IF(lista_startowa!#REF!=0,"",lista_startowa!#REF!),"")</f>
        <v/>
      </c>
      <c r="E8" s="55" t="str">
        <f>IFERROR(IF(lista_startowa!#REF!=0,"",lista_startowa!#REF!),"")</f>
        <v/>
      </c>
      <c r="F8" s="56" t="str">
        <f>IFERROR(IF(lista_startowa!#REF!=0,"",lista_startowa!#REF!),"")</f>
        <v/>
      </c>
      <c r="G8" s="55"/>
      <c r="H8" s="55"/>
      <c r="I8" s="55"/>
      <c r="J8" s="55"/>
      <c r="K8" s="55"/>
      <c r="L8" s="55"/>
      <c r="M8" s="55"/>
      <c r="N8" s="55"/>
      <c r="O8" s="55"/>
      <c r="P8" s="55" t="str">
        <f>IF(ISBLANK(G8),"",SUM(G8:O8)+(COUNTIF(G8:O8,"DSQ")+COUNTIF(G8:O8,"DNF")+COUNTIF(G8:O8,"OCS")+COUNTIF(G8:O8,"DNC")+COUNTIF(G8:O8,"DNS")+COUNTIF(G8:O8,"DNE")+COUNTIF(G8:O8,"RET")+COUNTIF(G8:O8,"BFD")+COUNTIF(G8:O8,"UFD")+COUNTIF(G8:O8,"NSC"))*$E$14)</f>
        <v/>
      </c>
      <c r="Q8" s="75"/>
      <c r="R8" s="58">
        <f ca="1">lista_startowa!$B81</f>
        <v>2</v>
      </c>
    </row>
    <row r="9" spans="2:18" x14ac:dyDescent="0.25">
      <c r="B9" s="53">
        <f ca="1">IFERROR(VALUE(OFFSET(B9,-1,0)),0)+1</f>
        <v>3</v>
      </c>
      <c r="C9" s="54" t="str">
        <f>IFERROR(IF(lista_startowa!#REF!=0,"",lista_startowa!#REF!),"")</f>
        <v/>
      </c>
      <c r="D9" s="54" t="str">
        <f>IFERROR(IF(lista_startowa!#REF!=0,"",lista_startowa!#REF!),"")</f>
        <v/>
      </c>
      <c r="E9" s="55" t="str">
        <f>IFERROR(IF(lista_startowa!#REF!=0,"",lista_startowa!#REF!),"")</f>
        <v/>
      </c>
      <c r="F9" s="56" t="str">
        <f>IFERROR(IF(lista_startowa!#REF!=0,"",lista_startowa!#REF!),"")</f>
        <v/>
      </c>
      <c r="G9" s="55"/>
      <c r="H9" s="55"/>
      <c r="I9" s="55"/>
      <c r="J9" s="55"/>
      <c r="K9" s="55"/>
      <c r="L9" s="55"/>
      <c r="M9" s="55"/>
      <c r="N9" s="55"/>
      <c r="O9" s="55"/>
      <c r="P9" s="55" t="str">
        <f>IF(ISBLANK(G9),"",SUM(G9:O9)+(COUNTIF(G9:O9,"DSQ")+COUNTIF(G9:O9,"DNF")+COUNTIF(G9:O9,"OCS")+COUNTIF(G9:O9,"DNC")+COUNTIF(G9:O9,"DNS")+COUNTIF(G9:O9,"DNE")+COUNTIF(G9:O9,"RET")+COUNTIF(G9:O9,"BFD")+COUNTIF(G9:O9,"UFD")+COUNTIF(G9:O9,"NSC"))*$E$14)</f>
        <v/>
      </c>
      <c r="Q9" s="75"/>
      <c r="R9" s="58">
        <f ca="1">lista_startowa!$B82</f>
        <v>3</v>
      </c>
    </row>
    <row r="10" spans="2:18" x14ac:dyDescent="0.25">
      <c r="B10" s="53">
        <f ca="1">IFERROR(VALUE(OFFSET(B10,-1,0)),0)+1</f>
        <v>4</v>
      </c>
      <c r="C10" s="54" t="str">
        <f>IFERROR(IF(lista_startowa!#REF!=0,"",lista_startowa!#REF!),"")</f>
        <v/>
      </c>
      <c r="D10" s="54" t="str">
        <f>IFERROR(IF(lista_startowa!#REF!=0,"",lista_startowa!#REF!),"")</f>
        <v/>
      </c>
      <c r="E10" s="55" t="str">
        <f>IFERROR(IF(lista_startowa!#REF!=0,"",lista_startowa!#REF!),"")</f>
        <v/>
      </c>
      <c r="F10" s="56" t="str">
        <f>IFERROR(IF(lista_startowa!#REF!=0,"",lista_startowa!#REF!),"")</f>
        <v/>
      </c>
      <c r="G10" s="55"/>
      <c r="H10" s="55"/>
      <c r="I10" s="55"/>
      <c r="J10" s="55"/>
      <c r="K10" s="55"/>
      <c r="L10" s="55"/>
      <c r="M10" s="55"/>
      <c r="N10" s="55"/>
      <c r="O10" s="55"/>
      <c r="P10" s="55" t="str">
        <f>IF(ISBLANK(G10),"",SUM(G10:O10)+(COUNTIF(G10:O10,"DSQ")+COUNTIF(G10:O10,"DNF")+COUNTIF(G10:O10,"OCS")+COUNTIF(G10:O10,"DNC")+COUNTIF(G10:O10,"DNS")+COUNTIF(G10:O10,"DNE")+COUNTIF(G10:O10,"RET")+COUNTIF(G10:O10,"BFD")+COUNTIF(G10:O10,"UFD")+COUNTIF(G10:O10,"NSC"))*$E$14)</f>
        <v/>
      </c>
      <c r="Q10" s="75"/>
      <c r="R10" s="58" t="e">
        <f>lista_startowa!#REF!</f>
        <v>#REF!</v>
      </c>
    </row>
    <row r="11" spans="2:18" x14ac:dyDescent="0.25">
      <c r="B11" s="53">
        <f ca="1">IFERROR(VALUE(OFFSET(B11,-1,0)),0)+1</f>
        <v>5</v>
      </c>
      <c r="C11" s="54" t="str">
        <f>IFERROR(IF(lista_startowa!#REF!=0,"",lista_startowa!#REF!),"")</f>
        <v/>
      </c>
      <c r="D11" s="54" t="str">
        <f>IFERROR(IF(lista_startowa!#REF!=0,"",lista_startowa!#REF!),"")</f>
        <v/>
      </c>
      <c r="E11" s="55" t="str">
        <f>IFERROR(IF(lista_startowa!#REF!=0,"",lista_startowa!#REF!),"")</f>
        <v/>
      </c>
      <c r="F11" s="56" t="str">
        <f>IFERROR(IF(lista_startowa!#REF!=0,"",lista_startowa!#REF!),"")</f>
        <v/>
      </c>
      <c r="G11" s="55"/>
      <c r="H11" s="55"/>
      <c r="I11" s="55"/>
      <c r="J11" s="55"/>
      <c r="K11" s="55"/>
      <c r="L11" s="55"/>
      <c r="M11" s="55"/>
      <c r="N11" s="55"/>
      <c r="O11" s="55"/>
      <c r="P11" s="55" t="str">
        <f>IF(ISBLANK(G11),"",SUM(G11:O11)+(COUNTIF(G11:O11,"DSQ")+COUNTIF(G11:O11,"DNF")+COUNTIF(G11:O11,"OCS")+COUNTIF(G11:O11,"DNC")+COUNTIF(G11:O11,"DNS")+COUNTIF(G11:O11,"DNE")+COUNTIF(G11:O11,"RET")+COUNTIF(G11:O11,"BFD")+COUNTIF(G11:O11,"UFD")+COUNTIF(G11:O11,"NSC"))*$E$14)</f>
        <v/>
      </c>
      <c r="Q11" s="75"/>
      <c r="R11" s="58" t="e">
        <f>lista_startowa!#REF!</f>
        <v>#REF!</v>
      </c>
    </row>
    <row r="13" spans="2:18" x14ac:dyDescent="0.25">
      <c r="B13" s="5" t="str">
        <f>_xlfn.CONCAT("DSQ, OCS, DNF, DNC, DNS, DNE, RET, BFD, UFD, NSC = ",E14," pkt.")</f>
        <v>DSQ, OCS, DNF, DNC, DNS, DNE, RET, BFD, UFD, NSC = 7 pkt.</v>
      </c>
      <c r="D13" s="1"/>
      <c r="E13" s="3"/>
      <c r="F13" s="102" t="str">
        <f>lista_startowa!F26</f>
        <v>Sędzia Główny</v>
      </c>
      <c r="G13" s="102"/>
      <c r="P13" s="2"/>
    </row>
    <row r="14" spans="2:18" x14ac:dyDescent="0.25">
      <c r="E14" s="8">
        <f>ROWS(B7:B12)+1</f>
        <v>7</v>
      </c>
      <c r="P14" s="2"/>
    </row>
    <row r="15" spans="2:18" x14ac:dyDescent="0.25">
      <c r="F15" s="102" t="str">
        <f>lista_startowa!F27</f>
        <v>Jarek Bazylko</v>
      </c>
      <c r="G15" s="102"/>
      <c r="P15" s="2"/>
    </row>
  </sheetData>
  <dataConsolidate link="1"/>
  <mergeCells count="7">
    <mergeCell ref="F15:G15"/>
    <mergeCell ref="B1:P1"/>
    <mergeCell ref="B2:P2"/>
    <mergeCell ref="B3:P3"/>
    <mergeCell ref="D4:E4"/>
    <mergeCell ref="G5:O5"/>
    <mergeCell ref="F13:G13"/>
  </mergeCells>
  <printOptions horizontalCentered="1"/>
  <pageMargins left="0.15748031496062992" right="0.15748031496062992" top="0.39370078740157483" bottom="0.35433070866141736" header="0.31496062992125984" footer="0.15748031496062992"/>
  <pageSetup paperSize="9" scale="95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9A68-DFED-418F-9CFD-81590A4264F4}">
  <sheetPr>
    <pageSetUpPr fitToPage="1"/>
  </sheetPr>
  <dimension ref="B1:R13"/>
  <sheetViews>
    <sheetView zoomScaleNormal="100" zoomScaleSheetLayoutView="100" workbookViewId="0">
      <selection activeCell="K17" sqref="K17"/>
    </sheetView>
  </sheetViews>
  <sheetFormatPr defaultRowHeight="15" x14ac:dyDescent="0.25"/>
  <cols>
    <col min="1" max="1" width="3" style="7" customWidth="1"/>
    <col min="2" max="2" width="7.5703125" style="2" customWidth="1"/>
    <col min="3" max="3" width="20" style="7" customWidth="1"/>
    <col min="4" max="4" width="14.140625" style="7" customWidth="1"/>
    <col min="5" max="5" width="13.140625" style="2" customWidth="1"/>
    <col min="6" max="6" width="31.28515625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">
        <v>64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6"/>
    </row>
    <row r="6" spans="2:18" ht="22.5" customHeight="1" x14ac:dyDescent="0.25">
      <c r="B6" s="48" t="s">
        <v>10</v>
      </c>
      <c r="C6" s="49" t="s">
        <v>0</v>
      </c>
      <c r="D6" s="49" t="s">
        <v>1</v>
      </c>
      <c r="E6" s="49" t="s">
        <v>24</v>
      </c>
      <c r="F6" s="49" t="s">
        <v>27</v>
      </c>
      <c r="G6" s="49" t="s">
        <v>2</v>
      </c>
      <c r="H6" s="49" t="s">
        <v>3</v>
      </c>
      <c r="I6" s="49" t="s">
        <v>4</v>
      </c>
      <c r="J6" s="49" t="s">
        <v>5</v>
      </c>
      <c r="K6" s="49" t="s">
        <v>6</v>
      </c>
      <c r="L6" s="49" t="s">
        <v>7</v>
      </c>
      <c r="M6" s="49" t="s">
        <v>8</v>
      </c>
      <c r="N6" s="49" t="s">
        <v>17</v>
      </c>
      <c r="O6" s="49" t="s">
        <v>16</v>
      </c>
      <c r="P6" s="50" t="s">
        <v>9</v>
      </c>
      <c r="Q6" s="51" t="s">
        <v>18</v>
      </c>
      <c r="R6" s="52" t="s">
        <v>19</v>
      </c>
    </row>
    <row r="7" spans="2:18" x14ac:dyDescent="0.25">
      <c r="B7" s="53">
        <f ca="1">IFERROR(VALUE(OFFSET(B7,-1,0)),0)+1</f>
        <v>1</v>
      </c>
      <c r="C7" s="54" t="str">
        <f>IFERROR(IF(lista_startowa!$C80=0,"",lista_startowa!$C80),"")</f>
        <v>Jakub Malicki</v>
      </c>
      <c r="D7" s="54" t="str">
        <f>IFERROR(IF(lista_startowa!$D80=0,"",lista_startowa!$D80),"")</f>
        <v>POL 133</v>
      </c>
      <c r="E7" s="55">
        <f>IFERROR(IF(lista_startowa!$E80=0,"",lista_startowa!$E80),"")</f>
        <v>41</v>
      </c>
      <c r="F7" s="56" t="str">
        <f>IFERROR(IF(lista_startowa!$F80=0,"",lista_startowa!$F80),"")</f>
        <v>DUŻE DRZEWO</v>
      </c>
      <c r="G7" s="55"/>
      <c r="H7" s="55"/>
      <c r="I7" s="55"/>
      <c r="J7" s="55"/>
      <c r="K7" s="55"/>
      <c r="L7" s="55"/>
      <c r="M7" s="55"/>
      <c r="N7" s="55"/>
      <c r="O7" s="55"/>
      <c r="P7" s="55" t="str">
        <f>IF(ISBLANK(G7),"",SUM(G7:O7)+(COUNTIF(G7:O7,"DSQ")+COUNTIF(G7:O7,"DNF")+COUNTIF(G7:O7,"OCS")+COUNTIF(G7:O7,"DNC")+COUNTIF(G7:O7,"DNS")+COUNTIF(G7:O7,"DNE")+COUNTIF(G7:O7,"RET")+COUNTIF(G7:O7,"BFD")+COUNTIF(G7:O7,"UFD")+COUNTIF(G7:O7,"NSC"))*$E$12)</f>
        <v/>
      </c>
      <c r="Q7" s="57"/>
      <c r="R7" s="58">
        <f ca="1">lista_startowa!$B80</f>
        <v>1</v>
      </c>
    </row>
    <row r="8" spans="2:18" x14ac:dyDescent="0.25">
      <c r="B8" s="53">
        <f ca="1">IFERROR(VALUE(OFFSET(B8,-1,0)),0)+1</f>
        <v>2</v>
      </c>
      <c r="C8" s="54" t="str">
        <f>IFERROR(IF(lista_startowa!$C82=0,"",lista_startowa!$C82),"")</f>
        <v>Roman Czajkowski</v>
      </c>
      <c r="D8" s="54" t="str">
        <f>IFERROR(IF(lista_startowa!$D82=0,"",lista_startowa!$D82),"")</f>
        <v>POL 202</v>
      </c>
      <c r="E8" s="55">
        <f>IFERROR(IF(lista_startowa!$E82=0,"",lista_startowa!$E82),"")</f>
        <v>37</v>
      </c>
      <c r="F8" s="56" t="str">
        <f>IFERROR(IF(lista_startowa!$F82=0,"",lista_startowa!$F82),"")</f>
        <v>SPEEDY</v>
      </c>
      <c r="G8" s="55"/>
      <c r="H8" s="55"/>
      <c r="I8" s="55"/>
      <c r="J8" s="55"/>
      <c r="K8" s="55"/>
      <c r="L8" s="55"/>
      <c r="M8" s="55"/>
      <c r="N8" s="55"/>
      <c r="O8" s="55"/>
      <c r="P8" s="55" t="str">
        <f>IF(ISBLANK(G8),"",SUM(G8:O8)+(COUNTIF(G8:O8,"DSQ")+COUNTIF(G8:O8,"DNF")+COUNTIF(G8:O8,"OCS")+COUNTIF(G8:O8,"DNC")+COUNTIF(G8:O8,"DNS")+COUNTIF(G8:O8,"DNE")+COUNTIF(G8:O8,"RET")+COUNTIF(G8:O8,"BFD")+COUNTIF(G8:O8,"UFD")+COUNTIF(G8:O8,"NSC"))*$E$12)</f>
        <v/>
      </c>
      <c r="Q8" s="57"/>
      <c r="R8" s="58">
        <f ca="1">lista_startowa!$B81</f>
        <v>2</v>
      </c>
    </row>
    <row r="9" spans="2:18" x14ac:dyDescent="0.25">
      <c r="B9" s="53">
        <f ca="1">IFERROR(VALUE(OFFSET(B9,-1,0)),0)+1</f>
        <v>3</v>
      </c>
      <c r="C9" s="54" t="str">
        <f>IFERROR(IF(lista_startowa!#REF!=0,"",lista_startowa!#REF!),"")</f>
        <v/>
      </c>
      <c r="D9" s="54" t="str">
        <f>IFERROR(IF(lista_startowa!#REF!=0,"",lista_startowa!#REF!),"")</f>
        <v/>
      </c>
      <c r="E9" s="55" t="str">
        <f>IFERROR(IF(lista_startowa!#REF!=0,"",lista_startowa!#REF!),"")</f>
        <v/>
      </c>
      <c r="F9" s="56" t="str">
        <f>IFERROR(IF(lista_startowa!#REF!=0,"",lista_startowa!#REF!),"")</f>
        <v/>
      </c>
      <c r="G9" s="55"/>
      <c r="H9" s="55"/>
      <c r="I9" s="55"/>
      <c r="J9" s="55"/>
      <c r="K9" s="55"/>
      <c r="L9" s="55"/>
      <c r="M9" s="55"/>
      <c r="N9" s="55"/>
      <c r="O9" s="55"/>
      <c r="P9" s="55" t="str">
        <f>IF(ISBLANK(G9),"",SUM(G9:O9)+(COUNTIF(G9:O9,"DSQ")+COUNTIF(G9:O9,"DNF")+COUNTIF(G9:O9,"OCS")+COUNTIF(G9:O9,"DNC")+COUNTIF(G9:O9,"DNS")+COUNTIF(G9:O9,"DNE")+COUNTIF(G9:O9,"RET")+COUNTIF(G9:O9,"BFD")+COUNTIF(G9:O9,"UFD")+COUNTIF(G9:O9,"NSC"))*$E$12)</f>
        <v/>
      </c>
      <c r="Q9" s="57"/>
      <c r="R9" s="58">
        <f ca="1">lista_startowa!$B82</f>
        <v>3</v>
      </c>
    </row>
    <row r="11" spans="2:18" x14ac:dyDescent="0.25">
      <c r="B11" s="5" t="str">
        <f>_xlfn.CONCAT("DSQ, OCS, DNF, DNC, DNS, DNE, RET, BFD, UFD, NSC = ",E12," pkt.")</f>
        <v>DSQ, OCS, DNF, DNC, DNS, DNE, RET, BFD, UFD, NSC = 4 pkt.</v>
      </c>
      <c r="D11" s="1"/>
      <c r="E11" s="3"/>
      <c r="F11" s="102" t="str">
        <f>lista_startowa!F26</f>
        <v>Sędzia Główny</v>
      </c>
      <c r="G11" s="102"/>
      <c r="P11" s="2"/>
    </row>
    <row r="12" spans="2:18" x14ac:dyDescent="0.25">
      <c r="E12" s="8">
        <f>ROWS(B8:B10)+1</f>
        <v>4</v>
      </c>
      <c r="P12" s="2"/>
    </row>
    <row r="13" spans="2:18" x14ac:dyDescent="0.25">
      <c r="F13" s="102" t="str">
        <f>lista_startowa!F27</f>
        <v>Jarek Bazylko</v>
      </c>
      <c r="G13" s="102"/>
      <c r="P13" s="2"/>
    </row>
  </sheetData>
  <dataConsolidate link="1"/>
  <mergeCells count="7">
    <mergeCell ref="F13:G13"/>
    <mergeCell ref="B1:P1"/>
    <mergeCell ref="B2:P2"/>
    <mergeCell ref="B3:P3"/>
    <mergeCell ref="D4:E4"/>
    <mergeCell ref="G5:O5"/>
    <mergeCell ref="F11:G11"/>
  </mergeCells>
  <printOptions horizontalCentered="1"/>
  <pageMargins left="0.15748031496062992" right="0.15748031496062992" top="0.39370078740157483" bottom="0.35433070866141736" header="0.31496062992125984" footer="0.15748031496062992"/>
  <pageSetup paperSize="9" scale="95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A09A-8B68-4714-BB1F-FC3C08DE8ECD}">
  <sheetPr>
    <pageSetUpPr fitToPage="1"/>
  </sheetPr>
  <dimension ref="B1:R11"/>
  <sheetViews>
    <sheetView zoomScaleNormal="100" zoomScaleSheetLayoutView="100" workbookViewId="0">
      <selection activeCell="K17" sqref="K17"/>
    </sheetView>
  </sheetViews>
  <sheetFormatPr defaultRowHeight="15" x14ac:dyDescent="0.25"/>
  <cols>
    <col min="1" max="1" width="3" style="7" customWidth="1"/>
    <col min="2" max="2" width="7.5703125" style="2" customWidth="1"/>
    <col min="3" max="3" width="20" style="7" customWidth="1"/>
    <col min="4" max="4" width="14.140625" style="7" customWidth="1"/>
    <col min="5" max="5" width="13.140625" style="2" customWidth="1"/>
    <col min="6" max="6" width="31.28515625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">
        <v>65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6"/>
    </row>
    <row r="6" spans="2:18" ht="22.5" customHeight="1" x14ac:dyDescent="0.25">
      <c r="B6" s="48" t="s">
        <v>10</v>
      </c>
      <c r="C6" s="49" t="s">
        <v>0</v>
      </c>
      <c r="D6" s="49" t="s">
        <v>1</v>
      </c>
      <c r="E6" s="49" t="s">
        <v>24</v>
      </c>
      <c r="F6" s="49" t="s">
        <v>27</v>
      </c>
      <c r="G6" s="49" t="s">
        <v>2</v>
      </c>
      <c r="H6" s="49" t="s">
        <v>3</v>
      </c>
      <c r="I6" s="49" t="s">
        <v>4</v>
      </c>
      <c r="J6" s="49" t="s">
        <v>5</v>
      </c>
      <c r="K6" s="49" t="s">
        <v>6</v>
      </c>
      <c r="L6" s="49" t="s">
        <v>7</v>
      </c>
      <c r="M6" s="49" t="s">
        <v>8</v>
      </c>
      <c r="N6" s="49" t="s">
        <v>17</v>
      </c>
      <c r="O6" s="49" t="s">
        <v>16</v>
      </c>
      <c r="P6" s="50" t="s">
        <v>9</v>
      </c>
      <c r="Q6" s="51" t="s">
        <v>18</v>
      </c>
      <c r="R6" s="52" t="s">
        <v>19</v>
      </c>
    </row>
    <row r="7" spans="2:18" x14ac:dyDescent="0.25">
      <c r="B7" s="53">
        <f ca="1">IFERROR(VALUE(OFFSET(B7,-1,0)),0)+1</f>
        <v>1</v>
      </c>
      <c r="C7" s="54" t="str">
        <f>IFERROR(IF(lista_startowa!#REF!=0,"",lista_startowa!#REF!),"")</f>
        <v/>
      </c>
      <c r="D7" s="54" t="str">
        <f>IFERROR(IF(lista_startowa!#REF!=0,"",lista_startowa!#REF!),"")</f>
        <v/>
      </c>
      <c r="E7" s="55" t="str">
        <f>IFERROR(IF(lista_startowa!#REF!=0,"",lista_startowa!#REF!),"")</f>
        <v/>
      </c>
      <c r="F7" s="56" t="str">
        <f>IFERROR(IF(lista_startowa!#REF!=0,"",lista_startowa!#REF!),"")</f>
        <v/>
      </c>
      <c r="G7" s="55" t="s">
        <v>62</v>
      </c>
      <c r="H7" s="55">
        <v>1</v>
      </c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5">
        <v>1</v>
      </c>
      <c r="O7" s="55"/>
      <c r="P7" s="55">
        <f>IF(ISBLANK(G7),"",SUM(G7:O7)+(COUNTIF(G7:O7,"DSQ")+COUNTIF(G7:O7,"DNF")+COUNTIF(G7:O7,"OCS")+COUNTIF(G7:O7,"DNC")+COUNTIF(G7:O7,"DNS")+COUNTIF(G7:O7,"DNE")+COUNTIF(G7:O7,"RET")+COUNTIF(G7:O7,"BFD")+COUNTIF(G7:O7,"UFD")+COUNTIF(G7:O7,"NSC"))*$E$10)</f>
        <v>7</v>
      </c>
      <c r="Q7" s="57"/>
      <c r="R7" s="58" t="e">
        <f>lista_startowa!#REF!</f>
        <v>#REF!</v>
      </c>
    </row>
    <row r="9" spans="2:18" x14ac:dyDescent="0.25">
      <c r="B9" s="5" t="str">
        <f>_xlfn.CONCAT("DSQ, OCS, DNF, DNC, DNS, DNE, RET, BFD, UFD, NSC = ",E10," pkt.")</f>
        <v>DSQ, OCS, DNF, DNC, DNS, DNE, RET, BFD, UFD, NSC = 3 pkt.</v>
      </c>
      <c r="D9" s="1"/>
      <c r="E9" s="3"/>
      <c r="F9" s="102" t="str">
        <f>lista_startowa!F26</f>
        <v>Sędzia Główny</v>
      </c>
      <c r="G9" s="102"/>
      <c r="P9" s="2"/>
    </row>
    <row r="10" spans="2:18" x14ac:dyDescent="0.25">
      <c r="E10" s="8">
        <f>ROWS(B7:B8)+1</f>
        <v>3</v>
      </c>
      <c r="P10" s="2"/>
    </row>
    <row r="11" spans="2:18" x14ac:dyDescent="0.25">
      <c r="F11" s="102" t="str">
        <f>lista_startowa!F27</f>
        <v>Jarek Bazylko</v>
      </c>
      <c r="G11" s="102"/>
      <c r="P11" s="2"/>
    </row>
  </sheetData>
  <dataConsolidate link="1"/>
  <mergeCells count="7">
    <mergeCell ref="F11:G11"/>
    <mergeCell ref="B1:P1"/>
    <mergeCell ref="B2:P2"/>
    <mergeCell ref="B3:P3"/>
    <mergeCell ref="D4:E4"/>
    <mergeCell ref="G5:O5"/>
    <mergeCell ref="F9:G9"/>
  </mergeCells>
  <printOptions horizontalCentered="1"/>
  <pageMargins left="0.15748031496062992" right="0.15748031496062992" top="0.39370078740157483" bottom="0.35433070866141736" header="0.31496062992125984" footer="0.15748031496062992"/>
  <pageSetup paperSize="9" scale="95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AK31"/>
  <sheetViews>
    <sheetView showGridLines="0" tabSelected="1" zoomScale="124" zoomScaleNormal="124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" sqref="G4"/>
    </sheetView>
  </sheetViews>
  <sheetFormatPr defaultRowHeight="15" x14ac:dyDescent="0.25"/>
  <cols>
    <col min="1" max="1" width="3" style="7" customWidth="1"/>
    <col min="2" max="2" width="7" style="2" customWidth="1"/>
    <col min="3" max="3" width="9.42578125" style="2" customWidth="1"/>
    <col min="4" max="4" width="21.140625" style="7" customWidth="1"/>
    <col min="5" max="5" width="14.85546875" style="2" hidden="1" customWidth="1"/>
    <col min="6" max="6" width="23" style="7" customWidth="1"/>
    <col min="7" max="7" width="6.42578125" style="7" customWidth="1"/>
    <col min="8" max="9" width="4.7109375" style="7" customWidth="1"/>
    <col min="10" max="10" width="6.5703125" style="7" customWidth="1"/>
    <col min="11" max="12" width="4.7109375" style="7" customWidth="1"/>
    <col min="13" max="13" width="6.5703125" style="7" customWidth="1"/>
    <col min="14" max="15" width="4.7109375" style="7" customWidth="1"/>
    <col min="16" max="16" width="6.5703125" style="7" customWidth="1"/>
    <col min="17" max="17" width="4.7109375" style="7" bestFit="1" customWidth="1"/>
    <col min="18" max="18" width="4.85546875" style="7" bestFit="1" customWidth="1"/>
    <col min="19" max="19" width="4" style="7" bestFit="1" customWidth="1"/>
    <col min="20" max="20" width="4.7109375" style="7" bestFit="1" customWidth="1"/>
    <col min="21" max="21" width="4.85546875" style="7" bestFit="1" customWidth="1"/>
    <col min="22" max="22" width="4.5703125" style="7" customWidth="1"/>
    <col min="23" max="23" width="4.7109375" style="7" bestFit="1" customWidth="1"/>
    <col min="24" max="24" width="4.85546875" style="7" bestFit="1" customWidth="1"/>
    <col min="25" max="25" width="5.7109375" style="7" bestFit="1" customWidth="1"/>
    <col min="26" max="26" width="4.7109375" style="7" bestFit="1" customWidth="1"/>
    <col min="27" max="27" width="4.85546875" style="7" bestFit="1" customWidth="1"/>
    <col min="28" max="28" width="4.42578125" style="7" customWidth="1"/>
    <col min="29" max="29" width="4.7109375" style="7" hidden="1" customWidth="1"/>
    <col min="30" max="30" width="4.85546875" style="7" hidden="1" customWidth="1"/>
    <col min="31" max="31" width="4" style="7" hidden="1" customWidth="1"/>
    <col min="32" max="32" width="3.7109375" style="7" hidden="1" customWidth="1"/>
    <col min="33" max="33" width="4.85546875" style="7" hidden="1" customWidth="1"/>
    <col min="34" max="34" width="4" style="7" hidden="1" customWidth="1"/>
    <col min="35" max="35" width="6" style="7" customWidth="1"/>
    <col min="36" max="16384" width="9.140625" style="7"/>
  </cols>
  <sheetData>
    <row r="1" spans="2:37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13"/>
    </row>
    <row r="2" spans="2:37" ht="17.2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4"/>
    </row>
    <row r="3" spans="2:37" x14ac:dyDescent="0.25">
      <c r="B3" s="102" t="str">
        <f>lista_startowa!B5</f>
        <v>klasa :T - bez żagli dodatkowych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2"/>
    </row>
    <row r="4" spans="2:37" x14ac:dyDescent="0.25">
      <c r="B4" s="2" t="e">
        <f ca="1">_xlfn.CONCAT("data: ",TEXT(NOW(),"rrrr-mm-dd ""godz. ""gg:mm"))</f>
        <v>#NAME?</v>
      </c>
      <c r="C4" s="72"/>
      <c r="D4" s="28"/>
      <c r="E4" s="2" t="s">
        <v>20</v>
      </c>
      <c r="H4" s="15"/>
    </row>
    <row r="5" spans="2:37" x14ac:dyDescent="0.25">
      <c r="H5" s="105" t="s">
        <v>11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7"/>
      <c r="AI5" s="47"/>
    </row>
    <row r="6" spans="2:37" ht="30" x14ac:dyDescent="0.25">
      <c r="B6" s="19" t="s">
        <v>10</v>
      </c>
      <c r="C6" s="96" t="s">
        <v>24</v>
      </c>
      <c r="D6" s="19" t="s">
        <v>0</v>
      </c>
      <c r="E6" s="19" t="s">
        <v>1</v>
      </c>
      <c r="F6" s="19" t="s">
        <v>116</v>
      </c>
      <c r="G6" s="19" t="s">
        <v>29</v>
      </c>
      <c r="H6" s="26" t="s">
        <v>39</v>
      </c>
      <c r="I6" s="19" t="s">
        <v>40</v>
      </c>
      <c r="J6" s="38" t="s">
        <v>30</v>
      </c>
      <c r="K6" s="26" t="s">
        <v>41</v>
      </c>
      <c r="L6" s="19" t="s">
        <v>49</v>
      </c>
      <c r="M6" s="38" t="s">
        <v>31</v>
      </c>
      <c r="N6" s="26" t="s">
        <v>42</v>
      </c>
      <c r="O6" s="19" t="s">
        <v>50</v>
      </c>
      <c r="P6" s="38" t="s">
        <v>32</v>
      </c>
      <c r="Q6" s="26" t="s">
        <v>43</v>
      </c>
      <c r="R6" s="19" t="s">
        <v>51</v>
      </c>
      <c r="S6" s="38" t="s">
        <v>33</v>
      </c>
      <c r="T6" s="26" t="s">
        <v>44</v>
      </c>
      <c r="U6" s="19" t="s">
        <v>52</v>
      </c>
      <c r="V6" s="38" t="s">
        <v>34</v>
      </c>
      <c r="W6" s="26" t="s">
        <v>45</v>
      </c>
      <c r="X6" s="19" t="s">
        <v>53</v>
      </c>
      <c r="Y6" s="38" t="s">
        <v>35</v>
      </c>
      <c r="Z6" s="26" t="s">
        <v>46</v>
      </c>
      <c r="AA6" s="19" t="s">
        <v>54</v>
      </c>
      <c r="AB6" s="38" t="s">
        <v>36</v>
      </c>
      <c r="AC6" s="26" t="s">
        <v>47</v>
      </c>
      <c r="AD6" s="19" t="s">
        <v>55</v>
      </c>
      <c r="AE6" s="38" t="s">
        <v>37</v>
      </c>
      <c r="AF6" s="26" t="s">
        <v>48</v>
      </c>
      <c r="AG6" s="19" t="s">
        <v>56</v>
      </c>
      <c r="AH6" s="38" t="s">
        <v>38</v>
      </c>
      <c r="AI6" s="20" t="s">
        <v>9</v>
      </c>
      <c r="AJ6" s="20" t="s">
        <v>18</v>
      </c>
      <c r="AK6" s="37" t="s">
        <v>19</v>
      </c>
    </row>
    <row r="7" spans="2:37" ht="18.75" customHeight="1" x14ac:dyDescent="0.25">
      <c r="B7" s="73">
        <f t="shared" ref="B7:B24" ca="1" si="0">IFERROR(VALUE(OFFSET(B7,-1,0)),0)+1</f>
        <v>1</v>
      </c>
      <c r="C7" s="25" t="str">
        <f>IFERROR(IF(lista_startowa!$C13=0,"",lista_startowa!$C13),"")</f>
        <v>40</v>
      </c>
      <c r="D7" s="22" t="str">
        <f>IFERROR(IF(lista_startowa!$D13=0,"",lista_startowa!$D13),"")</f>
        <v>Tomasz Szychowiak</v>
      </c>
      <c r="E7" s="23" t="str">
        <f>IFERROR(IF(lista_startowa!$E13=0,"",lista_startowa!$E13),"")</f>
        <v>POL 70</v>
      </c>
      <c r="F7" s="22" t="s">
        <v>93</v>
      </c>
      <c r="G7" s="22">
        <f>IFERROR(IF(lista_startowa!$G13=0,"",lista_startowa!$G13),"")</f>
        <v>4.6500000000000004</v>
      </c>
      <c r="H7" s="24">
        <v>3.1689814814814816E-2</v>
      </c>
      <c r="I7" s="24">
        <f>IF(WynKl1[[#This Row],[Tr1]]="","",IFERROR(WynKl1[[#This Row],[Tr1]]*3600*(WynKl1[[#This Row],[Vi]]/(SUMIFS(WynKl1[Vi],WynKl1[Tr1],"&gt;00:00:00")/COUNTA(WynKl1[Tr1])))/3600,""))</f>
        <v>3.1201476296906248E-2</v>
      </c>
      <c r="J7" s="25">
        <f>IFERROR(_xlfn.RANK.EQ(WynKl1[[#This Row],[Tsk1]],WynKl1[Tsk1],1),"")</f>
        <v>3</v>
      </c>
      <c r="K7" s="24">
        <v>4.553240740740741E-2</v>
      </c>
      <c r="L7" s="24">
        <f>IF(WynKl1[[#This Row],[Tr2]]="","",IFERROR(WynKl1[[#This Row],[Tr2]]*3600*(WynKl1[[#This Row],[Vi]]/(SUMIFS(WynKl1[Vi],WynKl1[Tr2],"&gt;00:00:00")/COUNTA(WynKl1[Tr2])))/3600,""))</f>
        <v>4.4830755205269975E-2</v>
      </c>
      <c r="M7" s="25">
        <f>IFERROR(_xlfn.RANK.EQ(WynKl1[[#This Row],[Tsk2]],WynKl1[Tsk2],1),"")</f>
        <v>2</v>
      </c>
      <c r="N7" s="24">
        <v>8.0277777777777781E-2</v>
      </c>
      <c r="O7" s="24">
        <f>IF(WynKl1[[#This Row],[Tr3]]="","",IFERROR(WynKl1[[#This Row],[Tr3]]*3600*(WynKl1[[#This Row],[Vi]]/(SUMIFS(WynKl1[Vi],WynKl1[Tr3],"&gt;00:00:00")/COUNTA(WynKl1[Tr3])))/3600,""))</f>
        <v>7.9040701093988933E-2</v>
      </c>
      <c r="P7" s="25">
        <f>IFERROR(_xlfn.RANK.EQ(WynKl1[[#This Row],[Tsk3]],WynKl1[Tsk3],1),"")</f>
        <v>1</v>
      </c>
      <c r="Q7" s="24">
        <v>3.8796296296296294E-2</v>
      </c>
      <c r="R7" s="24">
        <f>IF(WynKl1[[#This Row],[Tr4]]="","",IFERROR(WynKl1[[#This Row],[Tr4]]*3600*(WynKl1[[#This Row],[Vi]]/(SUMIFS(WynKl1[Vi],WynKl1[Tr4],"&gt;00:00:00")/COUNTA(WynKl1[Tr4])))/3600,""))</f>
        <v>3.8198447241500996E-2</v>
      </c>
      <c r="S7" s="25">
        <f>IFERROR(_xlfn.RANK.EQ(WynKl1[[#This Row],[Tsk4]],WynKl1[Tsk4],1),"")</f>
        <v>3</v>
      </c>
      <c r="T7" s="24">
        <v>3.8368055555555558E-2</v>
      </c>
      <c r="U7" s="24">
        <f>IF(WynKl1[[#This Row],[Tr5]]="","",IFERROR(WynKl1[[#This Row],[Tr5]]*3600*(WynKl1[[#This Row],[Vi]]/(SUMIFS(WynKl1[Vi],WynKl1[Tr5],"&gt;00:00:00")/COUNTA(WynKl1[Tr5])))/3600,""))</f>
        <v>3.7936144986449864E-2</v>
      </c>
      <c r="V7" s="25">
        <f>IFERROR(_xlfn.RANK.EQ(WynKl1[[#This Row],[Tsk5]],WynKl1[Tsk5],1),"")</f>
        <v>2</v>
      </c>
      <c r="W7" s="24">
        <v>2.8888888888888888E-2</v>
      </c>
      <c r="X7" s="24">
        <f>IF(WynKl1[[#This Row],[Tr6]]="","",IFERROR(WynKl1[[#This Row],[Tr6]]*3600*(WynKl1[[#This Row],[Vi]]/(SUMIFS(WynKl1[Vi],WynKl1[Tr6],"&gt;00:00:00")/COUNTA(WynKl1[Tr6])))/3600,""))</f>
        <v>2.8542265550139567E-2</v>
      </c>
      <c r="Y7" s="25">
        <f>IFERROR(_xlfn.RANK.EQ(WynKl1[[#This Row],[Tsk6]],WynKl1[Tsk6],1),"")</f>
        <v>1</v>
      </c>
      <c r="Z7" s="24">
        <v>2.7025462962962963E-2</v>
      </c>
      <c r="AA7" s="24">
        <f>IF(WynKl1[[#This Row],[Tr7]]="","",IFERROR(WynKl1[[#This Row],[Tr7]]*3600*(WynKl1[[#This Row],[Vi]]/(SUMIFS(WynKl1[Vi],WynKl1[Tr7],"&gt;00:00:00")/COUNTA(WynKl1[Tr7])))/3600,""))</f>
        <v>2.6701197940535212E-2</v>
      </c>
      <c r="AB7" s="25">
        <f>IFERROR(_xlfn.RANK.EQ(WynKl1[[#This Row],[Tsk7]],WynKl1[Tsk7],1),"")</f>
        <v>2</v>
      </c>
      <c r="AC7" s="24"/>
      <c r="AD7" s="24" t="str">
        <f>IF(WynKl1[[#This Row],[Tr8]]="","",IFERROR(WynKl1[[#This Row],[Tr8]]*3600*(WynKl1[[#This Row],[Vi]]/(SUMIFS(WynKl1[Vi],WynKl1[Tr8],"&gt;00:00:00")/COUNTA(WynKl1[Tr8])))/3600,""))</f>
        <v/>
      </c>
      <c r="AE7" s="25" t="str">
        <f>IFERROR(_xlfn.RANK.EQ(WynKl1[[#This Row],[Tsk8]],WynKl1[Tsk8],1),"")</f>
        <v/>
      </c>
      <c r="AF7" s="24"/>
      <c r="AG7" s="24" t="str">
        <f>IF(WynKl1[[#This Row],[Tr9]]="","",IFERROR(WynKl1[[#This Row],[Tr9]]*3600*(WynKl1[[#This Row],[Vi]]/(SUMIFS(WynKl1[Vi],WynKl1[Tr9],"&gt;00:00:00")/COUNTA(WynKl1[Tr9])))/3600,""))</f>
        <v/>
      </c>
      <c r="AH7" s="25" t="str">
        <f>IFERROR(_xlfn.RANK.EQ(WynKl1[[#This Row],[Tsk9]],WynKl1[Tsk9],1),"")</f>
        <v/>
      </c>
      <c r="AI7" s="25">
        <f t="shared" ref="AI7:AI24" si="1">IF(J7="","",IF(ISBLANK(J7),"",SUM(J7,M7,P7,S7,V7,Y7,AB7,AE7,AH7)+SUM(COUNTIF(J7:AH7,"DSQ"),COUNTIF(J7:AH7,"OCS"),COUNTIF(J7:AH7,"DNF"),COUNTIF(J7:AH7,"DNC"),COUNTIF(J7:AH7,"DNE"),COUNTIF(J7:AH7,"RET"),COUNTIF(J7:AH7,"BFD"),COUNTIF(J7:AH7,"UFD"),COUNTIF(J7:AH7,"NSC"),COUNTIF(J7:AH7,"DNS"))*$E$27))</f>
        <v>14</v>
      </c>
      <c r="AJ7" s="21">
        <v>1</v>
      </c>
      <c r="AK7" s="25">
        <f ca="1">IFERROR(IF(lista_startowa!$B13=0,"",lista_startowa!$B13),"")</f>
        <v>7</v>
      </c>
    </row>
    <row r="8" spans="2:37" x14ac:dyDescent="0.25">
      <c r="B8" s="73">
        <f t="shared" ca="1" si="0"/>
        <v>2</v>
      </c>
      <c r="C8" s="25" t="str">
        <f>IFERROR(IF(lista_startowa!$C9=0,"",lista_startowa!$C9),"")</f>
        <v>18</v>
      </c>
      <c r="D8" s="22" t="str">
        <f>IFERROR(IF(lista_startowa!$D9=0,"",lista_startowa!$D9),"")</f>
        <v>Grzegorz Guzowski</v>
      </c>
      <c r="E8" s="23" t="str">
        <f>IFERROR(IF(lista_startowa!$E9=0,"",lista_startowa!$E9),"")</f>
        <v/>
      </c>
      <c r="F8" s="22" t="str">
        <f>IFERROR(IF(lista_startowa!$F9=0,"",lista_startowa!$F9),"")</f>
        <v>LIDA</v>
      </c>
      <c r="G8" s="22">
        <f>IFERROR(IF(lista_startowa!$G9=0,"",lista_startowa!$G9),"")</f>
        <v>4.3</v>
      </c>
      <c r="H8" s="24">
        <v>3.2696759259259259E-2</v>
      </c>
      <c r="I8" s="24">
        <f>IF(WynKl1[[#This Row],[Tr1]]="","",IFERROR(WynKl1[[#This Row],[Tr1]]*3600*(WynKl1[[#This Row],[Vi]]/(SUMIFS(WynKl1[Vi],WynKl1[Tr1],"&gt;00:00:00")/COUNTA(WynKl1[Tr1])))/3600,""))</f>
        <v>2.9769781986432965E-2</v>
      </c>
      <c r="J8" s="25">
        <f>IFERROR(_xlfn.RANK.EQ(WynKl1[[#This Row],[Tsk1]],WynKl1[Tsk1],1),"")</f>
        <v>1</v>
      </c>
      <c r="K8" s="24">
        <v>4.791666666666667E-2</v>
      </c>
      <c r="L8" s="24">
        <f>IF(WynKl1[[#This Row],[Tr2]]="","",IFERROR(WynKl1[[#This Row],[Tr2]]*3600*(WynKl1[[#This Row],[Vi]]/(SUMIFS(WynKl1[Vi],WynKl1[Tr2],"&gt;00:00:00")/COUNTA(WynKl1[Tr2])))/3600,""))</f>
        <v>4.362722032702035E-2</v>
      </c>
      <c r="M8" s="25">
        <f>IFERROR(_xlfn.RANK.EQ(WynKl1[[#This Row],[Tsk2]],WynKl1[Tsk2],1),"")</f>
        <v>1</v>
      </c>
      <c r="N8" s="24">
        <v>8.7083333333333332E-2</v>
      </c>
      <c r="O8" s="24">
        <f>IF(WynKl1[[#This Row],[Tr3]]="","",IFERROR(WynKl1[[#This Row],[Tr3]]*3600*(WynKl1[[#This Row],[Vi]]/(SUMIFS(WynKl1[Vi],WynKl1[Tr3],"&gt;00:00:00")/COUNTA(WynKl1[Tr3])))/3600,""))</f>
        <v>7.92877308551935E-2</v>
      </c>
      <c r="P8" s="25">
        <f>IFERROR(_xlfn.RANK.EQ(WynKl1[[#This Row],[Tsk3]],WynKl1[Tsk3],1),"")</f>
        <v>2</v>
      </c>
      <c r="Q8" s="24">
        <v>4.3148148148148151E-2</v>
      </c>
      <c r="R8" s="24">
        <f>IF(WynKl1[[#This Row],[Tr4]]="","",IFERROR(WynKl1[[#This Row],[Tr4]]*3600*(WynKl1[[#This Row],[Vi]]/(SUMIFS(WynKl1[Vi],WynKl1[Tr4],"&gt;00:00:00")/COUNTA(WynKl1[Tr4])))/3600,""))</f>
        <v>3.9285574246167125E-2</v>
      </c>
      <c r="S8" s="25">
        <f>IFERROR(_xlfn.RANK.EQ(WynKl1[[#This Row],[Tsk4]],WynKl1[Tsk4],1),"")</f>
        <v>6</v>
      </c>
      <c r="T8" s="24">
        <v>4.3159722222222224E-2</v>
      </c>
      <c r="U8" s="24">
        <f>IF(WynKl1[[#This Row],[Tr5]]="","",IFERROR(WynKl1[[#This Row],[Tr5]]*3600*(WynKl1[[#This Row],[Vi]]/(SUMIFS(WynKl1[Vi],WynKl1[Tr5],"&gt;00:00:00")/COUNTA(WynKl1[Tr5])))/3600,""))</f>
        <v>3.9461859842957407E-2</v>
      </c>
      <c r="V8" s="25">
        <f>IFERROR(_xlfn.RANK.EQ(WynKl1[[#This Row],[Tsk5]],WynKl1[Tsk5],1),"")</f>
        <v>4</v>
      </c>
      <c r="W8" s="24">
        <v>3.2129629629629633E-2</v>
      </c>
      <c r="X8" s="24">
        <f>IF(WynKl1[[#This Row],[Tr6]]="","",IFERROR(WynKl1[[#This Row],[Tr6]]*3600*(WynKl1[[#This Row],[Vi]]/(SUMIFS(WynKl1[Vi],WynKl1[Tr6],"&gt;00:00:00")/COUNTA(WynKl1[Tr6])))/3600,""))</f>
        <v>2.9354779726608247E-2</v>
      </c>
      <c r="Y8" s="25">
        <f>IFERROR(_xlfn.RANK.EQ(WynKl1[[#This Row],[Tsk6]],WynKl1[Tsk6],1),"")</f>
        <v>5</v>
      </c>
      <c r="Z8" s="24">
        <v>2.9780092592592594E-2</v>
      </c>
      <c r="AA8" s="24">
        <f>IF(WynKl1[[#This Row],[Tr7]]="","",IFERROR(WynKl1[[#This Row],[Tr7]]*3600*(WynKl1[[#This Row],[Vi]]/(SUMIFS(WynKl1[Vi],WynKl1[Tr7],"&gt;00:00:00")/COUNTA(WynKl1[Tr7])))/3600,""))</f>
        <v>2.7208158586658149E-2</v>
      </c>
      <c r="AB8" s="25">
        <f>IFERROR(_xlfn.RANK.EQ(WynKl1[[#This Row],[Tsk7]],WynKl1[Tsk7],1),"")</f>
        <v>4</v>
      </c>
      <c r="AC8" s="24"/>
      <c r="AD8" s="24" t="str">
        <f>IF(WynKl1[[#This Row],[Tr8]]="","",IFERROR(WynKl1[[#This Row],[Tr8]]*3600*(WynKl1[[#This Row],[Vi]]/(SUMIFS(WynKl1[Vi],WynKl1[Tr8],"&gt;00:00:00")/COUNTA(WynKl1[Tr8])))/3600,""))</f>
        <v/>
      </c>
      <c r="AE8" s="25" t="str">
        <f>IFERROR(_xlfn.RANK.EQ(WynKl1[[#This Row],[Tsk8]],WynKl1[Tsk8],1),"")</f>
        <v/>
      </c>
      <c r="AF8" s="24"/>
      <c r="AG8" s="24" t="str">
        <f>IF(WynKl1[[#This Row],[Tr9]]="","",IFERROR(WynKl1[[#This Row],[Tr9]]*3600*(WynKl1[[#This Row],[Vi]]/(SUMIFS(WynKl1[Vi],WynKl1[Tr9],"&gt;00:00:00")/COUNTA(WynKl1[Tr9])))/3600,""))</f>
        <v/>
      </c>
      <c r="AH8" s="25" t="str">
        <f>IFERROR(_xlfn.RANK.EQ(WynKl1[[#This Row],[Tsk9]],WynKl1[Tsk9],1),"")</f>
        <v/>
      </c>
      <c r="AI8" s="25">
        <f t="shared" si="1"/>
        <v>23</v>
      </c>
      <c r="AJ8" s="21">
        <v>2</v>
      </c>
      <c r="AK8" s="25">
        <f ca="1">IFERROR(IF(lista_startowa!$B9=0,"",lista_startowa!$B9),"")</f>
        <v>3</v>
      </c>
    </row>
    <row r="9" spans="2:37" x14ac:dyDescent="0.25">
      <c r="B9" s="73">
        <f t="shared" ca="1" si="0"/>
        <v>3</v>
      </c>
      <c r="C9" s="25" t="str">
        <f>IFERROR(IF(lista_startowa!$C14=0,"",lista_startowa!$C14),"")</f>
        <v>38</v>
      </c>
      <c r="D9" s="22" t="str">
        <f>IFERROR(IF(lista_startowa!$D14=0,"",lista_startowa!$D14),"")</f>
        <v>Przemysław Tkacz</v>
      </c>
      <c r="E9" s="23" t="str">
        <f>IFERROR(IF(lista_startowa!$E14=0,"",lista_startowa!$E14),"")</f>
        <v/>
      </c>
      <c r="F9" s="22" t="str">
        <f>IFERROR(IF(lista_startowa!$F14=0,"",lista_startowa!$F14),"")</f>
        <v>RETRAKT</v>
      </c>
      <c r="G9" s="22">
        <f>IFERROR(IF(lista_startowa!$G14=0,"",lista_startowa!$G14),"")</f>
        <v>4.6399999999999997</v>
      </c>
      <c r="H9" s="24">
        <v>3.2349537037037038E-2</v>
      </c>
      <c r="I9" s="24">
        <f>IF(WynKl1[[#This Row],[Tr1]]="","",IFERROR(WynKl1[[#This Row],[Tr1]]*3600*(WynKl1[[#This Row],[Vi]]/(SUMIFS(WynKl1[Vi],WynKl1[Tr1],"&gt;00:00:00")/COUNTA(WynKl1[Tr1])))/3600,""))</f>
        <v>3.1782535387993568E-2</v>
      </c>
      <c r="J9" s="25">
        <f>IFERROR(_xlfn.RANK.EQ(WynKl1[[#This Row],[Tsk1]],WynKl1[Tsk1],1),"")</f>
        <v>4</v>
      </c>
      <c r="K9" s="24">
        <v>4.5868055555555558E-2</v>
      </c>
      <c r="L9" s="24">
        <f>IF(WynKl1[[#This Row],[Tr2]]="","",IFERROR(WynKl1[[#This Row],[Tr2]]*3600*(WynKl1[[#This Row],[Vi]]/(SUMIFS(WynKl1[Vi],WynKl1[Tr2],"&gt;00:00:00")/COUNTA(WynKl1[Tr2])))/3600,""))</f>
        <v>4.5064110104693564E-2</v>
      </c>
      <c r="M9" s="25">
        <f>IFERROR(_xlfn.RANK.EQ(WynKl1[[#This Row],[Tsk2]],WynKl1[Tsk2],1),"")</f>
        <v>4</v>
      </c>
      <c r="N9" s="24">
        <v>8.2673611111111114E-2</v>
      </c>
      <c r="O9" s="24">
        <f>IF(WynKl1[[#This Row],[Tr3]]="","",IFERROR(WynKl1[[#This Row],[Tr3]]*3600*(WynKl1[[#This Row],[Vi]]/(SUMIFS(WynKl1[Vi],WynKl1[Tr3],"&gt;00:00:00")/COUNTA(WynKl1[Tr3])))/3600,""))</f>
        <v>8.122456181625691E-2</v>
      </c>
      <c r="P9" s="25">
        <f>IFERROR(_xlfn.RANK.EQ(WynKl1[[#This Row],[Tsk3]],WynKl1[Tsk3],1),"")</f>
        <v>3</v>
      </c>
      <c r="Q9" s="24">
        <v>4.0555555555555553E-2</v>
      </c>
      <c r="R9" s="24">
        <f>IF(WynKl1[[#This Row],[Tr4]]="","",IFERROR(WynKl1[[#This Row],[Tr4]]*3600*(WynKl1[[#This Row],[Vi]]/(SUMIFS(WynKl1[Vi],WynKl1[Tr4],"&gt;00:00:00")/COUNTA(WynKl1[Tr4])))/3600,""))</f>
        <v>3.9844724150099979E-2</v>
      </c>
      <c r="S9" s="25">
        <f>IFERROR(_xlfn.RANK.EQ(WynKl1[[#This Row],[Tsk4]],WynKl1[Tsk4],1),"")</f>
        <v>7</v>
      </c>
      <c r="T9" s="24">
        <v>3.847222222222222E-2</v>
      </c>
      <c r="U9" s="24">
        <f>IF(WynKl1[[#This Row],[Tr5]]="","",IFERROR(WynKl1[[#This Row],[Tr5]]*3600*(WynKl1[[#This Row],[Vi]]/(SUMIFS(WynKl1[Vi],WynKl1[Tr5],"&gt;00:00:00")/COUNTA(WynKl1[Tr5])))/3600,""))</f>
        <v>3.7957334445139324E-2</v>
      </c>
      <c r="V9" s="25">
        <f>IFERROR(_xlfn.RANK.EQ(WynKl1[[#This Row],[Tsk5]],WynKl1[Tsk5],1),"")</f>
        <v>3</v>
      </c>
      <c r="W9" s="24">
        <v>2.9062500000000002E-2</v>
      </c>
      <c r="X9" s="24">
        <f>IF(WynKl1[[#This Row],[Tr6]]="","",IFERROR(WynKl1[[#This Row],[Tr6]]*3600*(WynKl1[[#This Row],[Vi]]/(SUMIFS(WynKl1[Vi],WynKl1[Tr6],"&gt;00:00:00")/COUNTA(WynKl1[Tr6])))/3600,""))</f>
        <v>2.8652043494563174E-2</v>
      </c>
      <c r="Y9" s="25">
        <f>IFERROR(_xlfn.RANK.EQ(WynKl1[[#This Row],[Tsk6]],WynKl1[Tsk6],1),"")</f>
        <v>3</v>
      </c>
      <c r="Z9" s="24">
        <v>2.8356481481481483E-2</v>
      </c>
      <c r="AA9" s="24">
        <f>IF(WynKl1[[#This Row],[Tr7]]="","",IFERROR(WynKl1[[#This Row],[Tr7]]*3600*(WynKl1[[#This Row],[Vi]]/(SUMIFS(WynKl1[Vi],WynKl1[Tr7],"&gt;00:00:00")/COUNTA(WynKl1[Tr7])))/3600,""))</f>
        <v>2.7955996241210587E-2</v>
      </c>
      <c r="AB9" s="25">
        <f>IFERROR(_xlfn.RANK.EQ(WynKl1[[#This Row],[Tsk7]],WynKl1[Tsk7],1),"")</f>
        <v>8</v>
      </c>
      <c r="AC9" s="24"/>
      <c r="AD9" s="24" t="str">
        <f>IF(WynKl1[[#This Row],[Tr8]]="","",IFERROR(WynKl1[[#This Row],[Tr8]]*3600*(WynKl1[[#This Row],[Vi]]/(SUMIFS(WynKl1[Vi],WynKl1[Tr8],"&gt;00:00:00")/COUNTA(WynKl1[Tr8])))/3600,""))</f>
        <v/>
      </c>
      <c r="AE9" s="25"/>
      <c r="AF9" s="24"/>
      <c r="AG9" s="24" t="str">
        <f>IF(WynKl1[[#This Row],[Tr9]]="","",IFERROR(WynKl1[[#This Row],[Tr9]]*3600*(WynKl1[[#This Row],[Vi]]/(SUMIFS(WynKl1[Vi],WynKl1[Tr9],"&gt;00:00:00")/COUNTA(WynKl1[Tr9])))/3600,""))</f>
        <v/>
      </c>
      <c r="AH9" s="25" t="str">
        <f>IFERROR(_xlfn.RANK.EQ(WynKl1[[#This Row],[Tsk9]],WynKl1[Tsk9],1),"")</f>
        <v/>
      </c>
      <c r="AI9" s="25">
        <f t="shared" si="1"/>
        <v>32</v>
      </c>
      <c r="AJ9" s="21">
        <v>3</v>
      </c>
      <c r="AK9" s="25">
        <f ca="1">IFERROR(IF(lista_startowa!$B14=0,"",lista_startowa!$B14),"")</f>
        <v>8</v>
      </c>
    </row>
    <row r="10" spans="2:37" x14ac:dyDescent="0.25">
      <c r="B10" s="73">
        <f t="shared" ca="1" si="0"/>
        <v>4</v>
      </c>
      <c r="C10" s="25" t="str">
        <f>IFERROR(IF(lista_startowa!$C19=0,"",lista_startowa!$C19),"")</f>
        <v>45</v>
      </c>
      <c r="D10" s="22" t="str">
        <f>IFERROR(IF(lista_startowa!$D19=0,"",lista_startowa!$D19),"")</f>
        <v>Maciej Kalinowski</v>
      </c>
      <c r="E10" s="23" t="str">
        <f>IFERROR(IF(lista_startowa!$E19=0,"",lista_startowa!$E19),"")</f>
        <v/>
      </c>
      <c r="F10" s="22" t="str">
        <f>IFERROR(IF(lista_startowa!$F19=0,"",lista_startowa!$F19),"")</f>
        <v>WIR</v>
      </c>
      <c r="G10" s="22">
        <f>IFERROR(IF(lista_startowa!$G19=0,"",lista_startowa!$G19),"")</f>
        <v>4.62</v>
      </c>
      <c r="H10" s="24">
        <v>3.2893518518518516E-2</v>
      </c>
      <c r="I10" s="24">
        <f>IF(WynKl1[[#This Row],[Tr1]]="","",IFERROR(WynKl1[[#This Row],[Tr1]]*3600*(WynKl1[[#This Row],[Vi]]/(SUMIFS(WynKl1[Vi],WynKl1[Tr1],"&gt;00:00:00")/COUNTA(WynKl1[Tr1])))/3600,""))</f>
        <v>3.217768497823785E-2</v>
      </c>
      <c r="J10" s="25">
        <f>IFERROR(_xlfn.RANK.EQ(WynKl1[[#This Row],[Tsk1]],WynKl1[Tsk1],1),"")</f>
        <v>7</v>
      </c>
      <c r="K10" s="24">
        <v>4.6006944444444448E-2</v>
      </c>
      <c r="L10" s="24">
        <f>IF(WynKl1[[#This Row],[Tr2]]="","",IFERROR(WynKl1[[#This Row],[Tr2]]*3600*(WynKl1[[#This Row],[Vi]]/(SUMIFS(WynKl1[Vi],WynKl1[Tr2],"&gt;00:00:00")/COUNTA(WynKl1[Tr2])))/3600,""))</f>
        <v>4.5005734619456526E-2</v>
      </c>
      <c r="M10" s="25">
        <f>IFERROR(_xlfn.RANK.EQ(WynKl1[[#This Row],[Tsk2]],WynKl1[Tsk2],1),"")</f>
        <v>3</v>
      </c>
      <c r="N10" s="24">
        <v>8.3611111111111108E-2</v>
      </c>
      <c r="O10" s="24">
        <f>IF(WynKl1[[#This Row],[Tr3]]="","",IFERROR(WynKl1[[#This Row],[Tr3]]*3600*(WynKl1[[#This Row],[Vi]]/(SUMIFS(WynKl1[Vi],WynKl1[Tr3],"&gt;00:00:00")/COUNTA(WynKl1[Tr3])))/3600,""))</f>
        <v>8.1791553934831188E-2</v>
      </c>
      <c r="P10" s="25">
        <f>IFERROR(_xlfn.RANK.EQ(WynKl1[[#This Row],[Tsk3]],WynKl1[Tsk3],1),"")</f>
        <v>5</v>
      </c>
      <c r="Q10" s="24">
        <v>3.7939814814814815E-2</v>
      </c>
      <c r="R10" s="24">
        <f>IF(WynKl1[[#This Row],[Tr4]]="","",IFERROR(WynKl1[[#This Row],[Tr4]]*3600*(WynKl1[[#This Row],[Vi]]/(SUMIFS(WynKl1[Vi],WynKl1[Tr4],"&gt;00:00:00")/COUNTA(WynKl1[Tr4])))/3600,""))</f>
        <v>3.7114163039642399E-2</v>
      </c>
      <c r="S10" s="25">
        <f>IFERROR(_xlfn.RANK.EQ(WynKl1[[#This Row],[Tsk4]],WynKl1[Tsk4],1),"")</f>
        <v>1</v>
      </c>
      <c r="T10" s="24">
        <v>3.861111111111111E-2</v>
      </c>
      <c r="U10" s="24">
        <f>IF(WynKl1[[#This Row],[Tr5]]="","",IFERROR(WynKl1[[#This Row],[Tr5]]*3600*(WynKl1[[#This Row],[Vi]]/(SUMIFS(WynKl1[Vi],WynKl1[Tr5],"&gt;00:00:00")/COUNTA(WynKl1[Tr5])))/3600,""))</f>
        <v>3.7930164686262251E-2</v>
      </c>
      <c r="V10" s="25">
        <f>IFERROR(_xlfn.RANK.EQ(WynKl1[[#This Row],[Tsk5]],WynKl1[Tsk5],1),"")</f>
        <v>1</v>
      </c>
      <c r="W10" s="24">
        <v>2.991898148148148E-2</v>
      </c>
      <c r="X10" s="24">
        <f>IF(WynKl1[[#This Row],[Tr6]]="","",IFERROR(WynKl1[[#This Row],[Tr6]]*3600*(WynKl1[[#This Row],[Vi]]/(SUMIFS(WynKl1[Vi],WynKl1[Tr6],"&gt;00:00:00")/COUNTA(WynKl1[Tr6])))/3600,""))</f>
        <v>2.93692889083309E-2</v>
      </c>
      <c r="Y10" s="25">
        <f>IFERROR(_xlfn.RANK.EQ(WynKl1[[#This Row],[Tsk6]],WynKl1[Tsk6],1),"")</f>
        <v>6</v>
      </c>
      <c r="Z10" s="24">
        <v>2.9421296296296296E-2</v>
      </c>
      <c r="AA10" s="24">
        <f>IF(WynKl1[[#This Row],[Tr7]]="","",IFERROR(WynKl1[[#This Row],[Tr7]]*3600*(WynKl1[[#This Row],[Vi]]/(SUMIFS(WynKl1[Vi],WynKl1[Tr7],"&gt;00:00:00")/COUNTA(WynKl1[Tr7])))/3600,""))</f>
        <v>2.8880747545445711E-2</v>
      </c>
      <c r="AB10" s="25">
        <f>IFERROR(_xlfn.RANK.EQ(WynKl1[[#This Row],[Tsk7]],WynKl1[Tsk7],1),"")</f>
        <v>11</v>
      </c>
      <c r="AC10" s="24"/>
      <c r="AD10" s="24" t="str">
        <f>IF(WynKl1[[#This Row],[Tr8]]="","",IFERROR(WynKl1[[#This Row],[Tr8]]*3600*(WynKl1[[#This Row],[Vi]]/(SUMIFS(WynKl1[Vi],WynKl1[Tr8],"&gt;00:00:00")/COUNTA(WynKl1[Tr8])))/3600,""))</f>
        <v/>
      </c>
      <c r="AE10" s="25"/>
      <c r="AF10" s="24"/>
      <c r="AG10" s="24" t="str">
        <f>IF(WynKl1[[#This Row],[Tr9]]="","",IFERROR(WynKl1[[#This Row],[Tr9]]*3600*(WynKl1[[#This Row],[Vi]]/(SUMIFS(WynKl1[Vi],WynKl1[Tr9],"&gt;00:00:00")/COUNTA(WynKl1[Tr9])))/3600,""))</f>
        <v/>
      </c>
      <c r="AH10" s="25" t="str">
        <f>IFERROR(_xlfn.RANK.EQ(WynKl1[[#This Row],[Tsk9]],WynKl1[Tsk9],1),"")</f>
        <v/>
      </c>
      <c r="AI10" s="25">
        <f t="shared" si="1"/>
        <v>34</v>
      </c>
      <c r="AJ10" s="21">
        <v>4</v>
      </c>
      <c r="AK10" s="25">
        <f ca="1">IFERROR(IF(lista_startowa!$B19=0,"",lista_startowa!$B19),"")</f>
        <v>13</v>
      </c>
    </row>
    <row r="11" spans="2:37" x14ac:dyDescent="0.25">
      <c r="B11" s="73">
        <f t="shared" ca="1" si="0"/>
        <v>5</v>
      </c>
      <c r="C11" s="25">
        <f>IFERROR(IF(lista_startowa!$C22=0,"",lista_startowa!$C22),"")</f>
        <v>29</v>
      </c>
      <c r="D11" s="22" t="str">
        <f>IFERROR(IF(lista_startowa!$D22=0,"",lista_startowa!$D22),"")</f>
        <v>Michał Brzozowski</v>
      </c>
      <c r="E11" s="23" t="str">
        <f>IFERROR(IF(lista_startowa!$E22=0,"",lista_startowa!$E22),"")</f>
        <v/>
      </c>
      <c r="F11" s="22" t="str">
        <f>IFERROR(IF(lista_startowa!$F22=0,"",lista_startowa!$F22),"")</f>
        <v>LEGENDA NR1</v>
      </c>
      <c r="G11" s="22">
        <f>IFERROR(IF(lista_startowa!$G22=0,"",lista_startowa!$G22),"")</f>
        <v>4.96</v>
      </c>
      <c r="H11" s="24">
        <v>3.0613425925925926E-2</v>
      </c>
      <c r="I11" s="24">
        <f>IF(WynKl1[[#This Row],[Tr1]]="","",IFERROR(WynKl1[[#This Row],[Tr1]]*3600*(WynKl1[[#This Row],[Vi]]/(SUMIFS(WynKl1[Vi],WynKl1[Tr1],"&gt;00:00:00")/COUNTA(WynKl1[Tr1])))/3600,""))</f>
        <v>3.2151119476140057E-2</v>
      </c>
      <c r="J11" s="25">
        <f>IFERROR(_xlfn.RANK.EQ(WynKl1[[#This Row],[Tsk1]],WynKl1[Tsk1],1),"")</f>
        <v>6</v>
      </c>
      <c r="K11" s="24">
        <v>4.3310185185185188E-2</v>
      </c>
      <c r="L11" s="24">
        <f>IF(WynKl1[[#This Row],[Tr2]]="","",IFERROR(WynKl1[[#This Row],[Tr2]]*3600*(WynKl1[[#This Row],[Vi]]/(SUMIFS(WynKl1[Vi],WynKl1[Tr2],"&gt;00:00:00")/COUNTA(WynKl1[Tr2])))/3600,""))</f>
        <v>4.5485629141669606E-2</v>
      </c>
      <c r="M11" s="25">
        <f>IFERROR(_xlfn.RANK.EQ(WynKl1[[#This Row],[Tsk2]],WynKl1[Tsk2],1),"")</f>
        <v>5</v>
      </c>
      <c r="N11" s="24">
        <v>7.7766203703703699E-2</v>
      </c>
      <c r="O11" s="24">
        <f>IF(WynKl1[[#This Row],[Tr3]]="","",IFERROR(WynKl1[[#This Row],[Tr3]]*3600*(WynKl1[[#This Row],[Vi]]/(SUMIFS(WynKl1[Vi],WynKl1[Tr3],"&gt;00:00:00")/COUNTA(WynKl1[Tr3])))/3600,""))</f>
        <v>8.1672352272281673E-2</v>
      </c>
      <c r="P11" s="25">
        <f>IFERROR(_xlfn.RANK.EQ(WynKl1[[#This Row],[Tsk3]],WynKl1[Tsk3],1),"")</f>
        <v>4</v>
      </c>
      <c r="Q11" s="24">
        <v>3.6539351851851851E-2</v>
      </c>
      <c r="R11" s="24">
        <f>IF(WynKl1[[#This Row],[Tr4]]="","",IFERROR(WynKl1[[#This Row],[Tr4]]*3600*(WynKl1[[#This Row],[Vi]]/(SUMIFS(WynKl1[Vi],WynKl1[Tr4],"&gt;00:00:00")/COUNTA(WynKl1[Tr4])))/3600,""))</f>
        <v>3.8374701015566788E-2</v>
      </c>
      <c r="S11" s="25">
        <f>IFERROR(_xlfn.RANK.EQ(WynKl1[[#This Row],[Tsk4]],WynKl1[Tsk4],1),"")</f>
        <v>4</v>
      </c>
      <c r="T11" s="24">
        <v>3.7488425925925925E-2</v>
      </c>
      <c r="U11" s="24">
        <f>IF(WynKl1[[#This Row],[Tr5]]="","",IFERROR(WynKl1[[#This Row],[Tr5]]*3600*(WynKl1[[#This Row],[Vi]]/(SUMIFS(WynKl1[Vi],WynKl1[Tr5],"&gt;00:00:00")/COUNTA(WynKl1[Tr5])))/3600,""))</f>
        <v>3.9537511870845206E-2</v>
      </c>
      <c r="V11" s="25">
        <f>IFERROR(_xlfn.RANK.EQ(WynKl1[[#This Row],[Tsk5]],WynKl1[Tsk5],1),"")</f>
        <v>5</v>
      </c>
      <c r="W11" s="24">
        <v>2.7256944444444445E-2</v>
      </c>
      <c r="X11" s="24">
        <f>IF(WynKl1[[#This Row],[Tr6]]="","",IFERROR(WynKl1[[#This Row],[Tr6]]*3600*(WynKl1[[#This Row],[Vi]]/(SUMIFS(WynKl1[Vi],WynKl1[Tr6],"&gt;00:00:00")/COUNTA(WynKl1[Tr6])))/3600,""))</f>
        <v>2.8725228790845585E-2</v>
      </c>
      <c r="Y11" s="25">
        <f>IFERROR(_xlfn.RANK.EQ(WynKl1[[#This Row],[Tsk6]],WynKl1[Tsk6],1),"")</f>
        <v>4</v>
      </c>
      <c r="Z11" s="24">
        <v>2.6122685185185186E-2</v>
      </c>
      <c r="AA11" s="24">
        <f>IF(WynKl1[[#This Row],[Tr7]]="","",IFERROR(WynKl1[[#This Row],[Tr7]]*3600*(WynKl1[[#This Row],[Vi]]/(SUMIFS(WynKl1[Vi],WynKl1[Tr7],"&gt;00:00:00")/COUNTA(WynKl1[Tr7])))/3600,""))</f>
        <v>2.7529868951566238E-2</v>
      </c>
      <c r="AB11" s="25">
        <f>IFERROR(_xlfn.RANK.EQ(WynKl1[[#This Row],[Tsk7]],WynKl1[Tsk7],1),"")</f>
        <v>6</v>
      </c>
      <c r="AC11" s="24"/>
      <c r="AD11" s="24" t="str">
        <f>IF(WynKl1[[#This Row],[Tr8]]="","",IFERROR(WynKl1[[#This Row],[Tr8]]*3600*(WynKl1[[#This Row],[Vi]]/(SUMIFS(WynKl1[Vi],WynKl1[Tr8],"&gt;00:00:00")/COUNTA(WynKl1[Tr8])))/3600,""))</f>
        <v/>
      </c>
      <c r="AE11" s="25" t="str">
        <f>IFERROR(_xlfn.RANK.EQ(WynKl1[[#This Row],[Tsk8]],WynKl1[Tsk8],1),"")</f>
        <v/>
      </c>
      <c r="AF11" s="24"/>
      <c r="AG11" s="24" t="str">
        <f>IF(WynKl1[[#This Row],[Tr9]]="","",IFERROR(WynKl1[[#This Row],[Tr9]]*3600*(WynKl1[[#This Row],[Vi]]/(SUMIFS(WynKl1[Vi],WynKl1[Tr9],"&gt;00:00:00")/COUNTA(WynKl1[Tr9])))/3600,""))</f>
        <v/>
      </c>
      <c r="AH11" s="25" t="str">
        <f>IFERROR(_xlfn.RANK.EQ(WynKl1[[#This Row],[Tsk9]],WynKl1[Tsk9],1),"")</f>
        <v/>
      </c>
      <c r="AI11" s="25">
        <f t="shared" si="1"/>
        <v>34</v>
      </c>
      <c r="AJ11" s="21">
        <v>5</v>
      </c>
      <c r="AK11" s="25">
        <f ca="1">IFERROR(IF(lista_startowa!$B22=0,"",lista_startowa!$B22),"")</f>
        <v>16</v>
      </c>
    </row>
    <row r="12" spans="2:37" x14ac:dyDescent="0.25">
      <c r="B12" s="73">
        <f t="shared" ca="1" si="0"/>
        <v>6</v>
      </c>
      <c r="C12" s="25" t="str">
        <f>IFERROR(IF(lista_startowa!$C15=0,"",lista_startowa!$C15),"")</f>
        <v>36</v>
      </c>
      <c r="D12" s="22" t="str">
        <f>IFERROR(IF(lista_startowa!$D15=0,"",lista_startowa!$D15),"")</f>
        <v>Tomasz Wiśniewski</v>
      </c>
      <c r="E12" s="23" t="str">
        <f>IFERROR(IF(lista_startowa!$E15=0,"",lista_startowa!$E15),"")</f>
        <v/>
      </c>
      <c r="F12" s="22" t="str">
        <f>IFERROR(IF(lista_startowa!$F15=0,"",lista_startowa!$F15),"")</f>
        <v>SHREK</v>
      </c>
      <c r="G12" s="22">
        <f>IFERROR(IF(lista_startowa!$G15=0,"",lista_startowa!$G15),"")</f>
        <v>4.6500000000000004</v>
      </c>
      <c r="H12" s="24">
        <v>3.2743055555555553E-2</v>
      </c>
      <c r="I12" s="24">
        <f>IF(WynKl1[[#This Row],[Tr1]]="","",IFERROR(WynKl1[[#This Row],[Tr1]]*3600*(WynKl1[[#This Row],[Vi]]/(SUMIFS(WynKl1[Vi],WynKl1[Tr1],"&gt;00:00:00")/COUNTA(WynKl1[Tr1])))/3600,""))</f>
        <v>3.223848664862957E-2</v>
      </c>
      <c r="J12" s="25">
        <f>IFERROR(_xlfn.RANK.EQ(WynKl1[[#This Row],[Tsk1]],WynKl1[Tsk1],1),"")</f>
        <v>9</v>
      </c>
      <c r="K12" s="24">
        <v>4.6585648148148147E-2</v>
      </c>
      <c r="L12" s="24">
        <f>IF(WynKl1[[#This Row],[Tr2]]="","",IFERROR(WynKl1[[#This Row],[Tr2]]*3600*(WynKl1[[#This Row],[Vi]]/(SUMIFS(WynKl1[Vi],WynKl1[Tr2],"&gt;00:00:00")/COUNTA(WynKl1[Tr2])))/3600,""))</f>
        <v>4.5867765556993297E-2</v>
      </c>
      <c r="M12" s="25">
        <f>IFERROR(_xlfn.RANK.EQ(WynKl1[[#This Row],[Tsk2]],WynKl1[Tsk2],1),"")</f>
        <v>9</v>
      </c>
      <c r="N12" s="24">
        <v>8.4456018518518514E-2</v>
      </c>
      <c r="O12" s="24">
        <f>IF(WynKl1[[#This Row],[Tr3]]="","",IFERROR(WynKl1[[#This Row],[Tr3]]*3600*(WynKl1[[#This Row],[Vi]]/(SUMIFS(WynKl1[Vi],WynKl1[Tr3],"&gt;00:00:00")/COUNTA(WynKl1[Tr3])))/3600,""))</f>
        <v>8.315455534642982E-2</v>
      </c>
      <c r="P12" s="25">
        <f>IFERROR(_xlfn.RANK.EQ(WynKl1[[#This Row],[Tsk3]],WynKl1[Tsk3],1),"")</f>
        <v>7</v>
      </c>
      <c r="Q12" s="24">
        <v>4.1585648148148149E-2</v>
      </c>
      <c r="R12" s="24">
        <f>IF(WynKl1[[#This Row],[Tr4]]="","",IFERROR(WynKl1[[#This Row],[Tr4]]*3600*(WynKl1[[#This Row],[Vi]]/(SUMIFS(WynKl1[Vi],WynKl1[Tr4],"&gt;00:00:00")/COUNTA(WynKl1[Tr4])))/3600,""))</f>
        <v>4.09448153158452E-2</v>
      </c>
      <c r="S12" s="25">
        <f>IFERROR(_xlfn.RANK.EQ(WynKl1[[#This Row],[Tsk4]],WynKl1[Tsk4],1),"")</f>
        <v>10</v>
      </c>
      <c r="T12" s="24">
        <v>4.0208333333333332E-2</v>
      </c>
      <c r="U12" s="24">
        <f>IF(WynKl1[[#This Row],[Tr5]]="","",IFERROR(WynKl1[[#This Row],[Tr5]]*3600*(WynKl1[[#This Row],[Vi]]/(SUMIFS(WynKl1[Vi],WynKl1[Tr5],"&gt;00:00:00")/COUNTA(WynKl1[Tr5])))/3600,""))</f>
        <v>3.9755706691682303E-2</v>
      </c>
      <c r="V12" s="25">
        <f>IFERROR(_xlfn.RANK.EQ(WynKl1[[#This Row],[Tsk5]],WynKl1[Tsk5],1),"")</f>
        <v>6</v>
      </c>
      <c r="W12" s="24">
        <v>2.8946759259259259E-2</v>
      </c>
      <c r="X12" s="24">
        <f>IF(WynKl1[[#This Row],[Tr6]]="","",IFERROR(WynKl1[[#This Row],[Tr6]]*3600*(WynKl1[[#This Row],[Vi]]/(SUMIFS(WynKl1[Vi],WynKl1[Tr6],"&gt;00:00:00")/COUNTA(WynKl1[Tr6])))/3600,""))</f>
        <v>2.8599441562860196E-2</v>
      </c>
      <c r="Y12" s="25">
        <f>IFERROR(_xlfn.RANK.EQ(WynKl1[[#This Row],[Tsk6]],WynKl1[Tsk6],1),"")</f>
        <v>2</v>
      </c>
      <c r="Z12" s="24">
        <v>2.6805555555555555E-2</v>
      </c>
      <c r="AA12" s="24">
        <f>IF(WynKl1[[#This Row],[Tr7]]="","",IFERROR(WynKl1[[#This Row],[Tr7]]*3600*(WynKl1[[#This Row],[Vi]]/(SUMIFS(WynKl1[Vi],WynKl1[Tr7],"&gt;00:00:00")/COUNTA(WynKl1[Tr7])))/3600,""))</f>
        <v>2.6483929092196806E-2</v>
      </c>
      <c r="AB12" s="25">
        <f>IFERROR(_xlfn.RANK.EQ(WynKl1[[#This Row],[Tsk7]],WynKl1[Tsk7],1),"")</f>
        <v>1</v>
      </c>
      <c r="AC12" s="24"/>
      <c r="AD12" s="24" t="str">
        <f>IF(WynKl1[[#This Row],[Tr8]]="","",IFERROR(WynKl1[[#This Row],[Tr8]]*3600*(WynKl1[[#This Row],[Vi]]/(SUMIFS(WynKl1[Vi],WynKl1[Tr8],"&gt;00:00:00")/COUNTA(WynKl1[Tr8])))/3600,""))</f>
        <v/>
      </c>
      <c r="AE12" s="25"/>
      <c r="AF12" s="24"/>
      <c r="AG12" s="24" t="str">
        <f>IF(WynKl1[[#This Row],[Tr9]]="","",IFERROR(WynKl1[[#This Row],[Tr9]]*3600*(WynKl1[[#This Row],[Vi]]/(SUMIFS(WynKl1[Vi],WynKl1[Tr9],"&gt;00:00:00")/COUNTA(WynKl1[Tr9])))/3600,""))</f>
        <v/>
      </c>
      <c r="AH12" s="25" t="str">
        <f>IFERROR(_xlfn.RANK.EQ(WynKl1[[#This Row],[Tsk9]],WynKl1[Tsk9],1),"")</f>
        <v/>
      </c>
      <c r="AI12" s="25">
        <f t="shared" si="1"/>
        <v>44</v>
      </c>
      <c r="AJ12" s="21">
        <v>6</v>
      </c>
      <c r="AK12" s="25">
        <f ca="1">IFERROR(IF(lista_startowa!$B15=0,"",lista_startowa!$B15),"")</f>
        <v>9</v>
      </c>
    </row>
    <row r="13" spans="2:37" x14ac:dyDescent="0.25">
      <c r="B13" s="73">
        <f t="shared" ca="1" si="0"/>
        <v>7</v>
      </c>
      <c r="C13" s="25" t="str">
        <f>IFERROR(IF(lista_startowa!$C16=0,"",lista_startowa!$C16),"")</f>
        <v>35</v>
      </c>
      <c r="D13" s="22" t="str">
        <f>IFERROR(IF(lista_startowa!$D16=0,"",lista_startowa!$D16),"")</f>
        <v>Marek Kudelski</v>
      </c>
      <c r="E13" s="23" t="str">
        <f>IFERROR(IF(lista_startowa!$E16=0,"",lista_startowa!$E16),"")</f>
        <v/>
      </c>
      <c r="F13" s="22" t="str">
        <f>IFERROR(IF(lista_startowa!$F16=0,"",lista_startowa!$F16),"")</f>
        <v>KORMIX</v>
      </c>
      <c r="G13" s="22">
        <f>IFERROR(IF(lista_startowa!$G16=0,"",lista_startowa!$G16),"")</f>
        <v>4.6500000000000004</v>
      </c>
      <c r="H13" s="24">
        <v>3.1469907407407405E-2</v>
      </c>
      <c r="I13" s="24">
        <f>IF(WynKl1[[#This Row],[Tr1]]="","",IFERROR(WynKl1[[#This Row],[Tr1]]*3600*(WynKl1[[#This Row],[Vi]]/(SUMIFS(WynKl1[Vi],WynKl1[Tr1],"&gt;00:00:00")/COUNTA(WynKl1[Tr1])))/3600,""))</f>
        <v>3.0984957652040936E-2</v>
      </c>
      <c r="J13" s="25">
        <f>IFERROR(_xlfn.RANK.EQ(WynKl1[[#This Row],[Tsk1]],WynKl1[Tsk1],1),"")</f>
        <v>2</v>
      </c>
      <c r="K13" s="24">
        <v>4.8032407407407406E-2</v>
      </c>
      <c r="L13" s="24">
        <f>IF(WynKl1[[#This Row],[Tr2]]="","",IFERROR(WynKl1[[#This Row],[Tr2]]*3600*(WynKl1[[#This Row],[Vi]]/(SUMIFS(WynKl1[Vi],WynKl1[Tr2],"&gt;00:00:00")/COUNTA(WynKl1[Tr2])))/3600,""))</f>
        <v>4.7292230325844016E-2</v>
      </c>
      <c r="M13" s="25">
        <f>IFERROR(_xlfn.RANK.EQ(WynKl1[[#This Row],[Tsk2]],WynKl1[Tsk2],1),"")</f>
        <v>11</v>
      </c>
      <c r="N13" s="24">
        <v>8.5115740740740742E-2</v>
      </c>
      <c r="O13" s="24">
        <f>IF(WynKl1[[#This Row],[Tr3]]="","",IFERROR(WynKl1[[#This Row],[Tr3]]*3600*(WynKl1[[#This Row],[Vi]]/(SUMIFS(WynKl1[Vi],WynKl1[Tr3],"&gt;00:00:00")/COUNTA(WynKl1[Tr3])))/3600,""))</f>
        <v>8.3804111281025759E-2</v>
      </c>
      <c r="P13" s="25">
        <f>IFERROR(_xlfn.RANK.EQ(WynKl1[[#This Row],[Tsk3]],WynKl1[Tsk3],1),"")</f>
        <v>10</v>
      </c>
      <c r="Q13" s="24">
        <v>3.8414351851851852E-2</v>
      </c>
      <c r="R13" s="24">
        <f>IF(WynKl1[[#This Row],[Tr4]]="","",IFERROR(WynKl1[[#This Row],[Tr4]]*3600*(WynKl1[[#This Row],[Vi]]/(SUMIFS(WynKl1[Vi],WynKl1[Tr4],"&gt;00:00:00")/COUNTA(WynKl1[Tr4])))/3600,""))</f>
        <v>3.7822388542524406E-2</v>
      </c>
      <c r="S13" s="25">
        <f>IFERROR(_xlfn.RANK.EQ(WynKl1[[#This Row],[Tsk4]],WynKl1[Tsk4],1),"")</f>
        <v>2</v>
      </c>
      <c r="T13" s="24">
        <v>4.0497685185185185E-2</v>
      </c>
      <c r="U13" s="24">
        <f>IF(WynKl1[[#This Row],[Tr5]]="","",IFERROR(WynKl1[[#This Row],[Tr5]]*3600*(WynKl1[[#This Row],[Vi]]/(SUMIFS(WynKl1[Vi],WynKl1[Tr5],"&gt;00:00:00")/COUNTA(WynKl1[Tr5])))/3600,""))</f>
        <v>4.0041801299423245E-2</v>
      </c>
      <c r="V13" s="25">
        <f>IFERROR(_xlfn.RANK.EQ(WynKl1[[#This Row],[Tsk5]],WynKl1[Tsk5],1),"")</f>
        <v>10</v>
      </c>
      <c r="W13" s="24">
        <v>3.229166666666667E-2</v>
      </c>
      <c r="X13" s="24">
        <f>IF(WynKl1[[#This Row],[Tr6]]="","",IFERROR(WynKl1[[#This Row],[Tr6]]*3600*(WynKl1[[#This Row],[Vi]]/(SUMIFS(WynKl1[Vi],WynKl1[Tr6],"&gt;00:00:00")/COUNTA(WynKl1[Tr6])))/3600,""))</f>
        <v>3.190421509811274E-2</v>
      </c>
      <c r="Y13" s="25">
        <f>IFERROR(_xlfn.RANK.EQ(WynKl1[[#This Row],[Tsk6]],WynKl1[Tsk6],1),"")</f>
        <v>15</v>
      </c>
      <c r="Z13" s="24">
        <v>2.7662037037037037E-2</v>
      </c>
      <c r="AA13" s="24">
        <f>IF(WynKl1[[#This Row],[Tr7]]="","",IFERROR(WynKl1[[#This Row],[Tr7]]*3600*(WynKl1[[#This Row],[Vi]]/(SUMIFS(WynKl1[Vi],WynKl1[Tr7],"&gt;00:00:00")/COUNTA(WynKl1[Tr7])))/3600,""))</f>
        <v>2.7330134080462164E-2</v>
      </c>
      <c r="AB13" s="25">
        <f>IFERROR(_xlfn.RANK.EQ(WynKl1[[#This Row],[Tsk7]],WynKl1[Tsk7],1),"")</f>
        <v>5</v>
      </c>
      <c r="AC13" s="24"/>
      <c r="AD13" s="24" t="str">
        <f>IF(WynKl1[[#This Row],[Tr8]]="","",IFERROR(WynKl1[[#This Row],[Tr8]]*3600*(WynKl1[[#This Row],[Vi]]/(SUMIFS(WynKl1[Vi],WynKl1[Tr8],"&gt;00:00:00")/COUNTA(WynKl1[Tr8])))/3600,""))</f>
        <v/>
      </c>
      <c r="AE13" s="25"/>
      <c r="AF13" s="24"/>
      <c r="AG13" s="24" t="str">
        <f>IF(WynKl1[[#This Row],[Tr9]]="","",IFERROR(WynKl1[[#This Row],[Tr9]]*3600*(WynKl1[[#This Row],[Vi]]/(SUMIFS(WynKl1[Vi],WynKl1[Tr9],"&gt;00:00:00")/COUNTA(WynKl1[Tr9])))/3600,""))</f>
        <v/>
      </c>
      <c r="AH13" s="25" t="str">
        <f>IFERROR(_xlfn.RANK.EQ(WynKl1[[#This Row],[Tsk9]],WynKl1[Tsk9],1),"")</f>
        <v/>
      </c>
      <c r="AI13" s="25">
        <f t="shared" si="1"/>
        <v>55</v>
      </c>
      <c r="AJ13" s="21">
        <v>7</v>
      </c>
      <c r="AK13" s="25">
        <f ca="1">IFERROR(IF(lista_startowa!$B16=0,"",lista_startowa!$B16),"")</f>
        <v>10</v>
      </c>
    </row>
    <row r="14" spans="2:37" x14ac:dyDescent="0.25">
      <c r="B14" s="73">
        <f t="shared" ca="1" si="0"/>
        <v>8</v>
      </c>
      <c r="C14" s="25">
        <f>IFERROR(IF(lista_startowa!$C20=0,"",lista_startowa!$C20),"")</f>
        <v>21</v>
      </c>
      <c r="D14" s="22" t="str">
        <f>IFERROR(IF(lista_startowa!$D20=0,"",lista_startowa!$D20),"")</f>
        <v>Marcin Macioszek</v>
      </c>
      <c r="E14" s="23" t="str">
        <f>IFERROR(IF(lista_startowa!$E20=0,"",lista_startowa!$E20),"")</f>
        <v/>
      </c>
      <c r="F14" s="22" t="str">
        <f>IFERROR(IF(lista_startowa!$F20=0,"",lista_startowa!$F20),"")</f>
        <v>RAFA 2 "SZOPENERIA"</v>
      </c>
      <c r="G14" s="22">
        <f>IFERROR(IF(lista_startowa!$G20=0,"",lista_startowa!$G20),"")</f>
        <v>4.55</v>
      </c>
      <c r="H14" s="24">
        <v>3.3321759259259259E-2</v>
      </c>
      <c r="I14" s="24">
        <f>IF(WynKl1[[#This Row],[Tr1]]="","",IFERROR(WynKl1[[#This Row],[Tr1]]*3600*(WynKl1[[#This Row],[Vi]]/(SUMIFS(WynKl1[Vi],WynKl1[Tr1],"&gt;00:00:00")/COUNTA(WynKl1[Tr1])))/3600,""))</f>
        <v>3.2102718307650074E-2</v>
      </c>
      <c r="J14" s="25">
        <f>IFERROR(_xlfn.RANK.EQ(WynKl1[[#This Row],[Tsk1]],WynKl1[Tsk1],1),"")</f>
        <v>5</v>
      </c>
      <c r="K14" s="24">
        <v>4.7337962962962964E-2</v>
      </c>
      <c r="L14" s="24">
        <f>IF(WynKl1[[#This Row],[Tr2]]="","",IFERROR(WynKl1[[#This Row],[Tr2]]*3600*(WynKl1[[#This Row],[Vi]]/(SUMIFS(WynKl1[Vi],WynKl1[Tr2],"&gt;00:00:00")/COUNTA(WynKl1[Tr2])))/3600,""))</f>
        <v>4.5606154177939846E-2</v>
      </c>
      <c r="M14" s="25">
        <f>IFERROR(_xlfn.RANK.EQ(WynKl1[[#This Row],[Tsk2]],WynKl1[Tsk2],1),"")</f>
        <v>6</v>
      </c>
      <c r="N14" s="24">
        <v>8.6863425925925927E-2</v>
      </c>
      <c r="O14" s="24">
        <f>IF(WynKl1[[#This Row],[Tr3]]="","",IFERROR(WynKl1[[#This Row],[Tr3]]*3600*(WynKl1[[#This Row],[Vi]]/(SUMIFS(WynKl1[Vi],WynKl1[Tr3],"&gt;00:00:00")/COUNTA(WynKl1[Tr3])))/3600,""))</f>
        <v>8.3685620319178117E-2</v>
      </c>
      <c r="P14" s="25">
        <f>IFERROR(_xlfn.RANK.EQ(WynKl1[[#This Row],[Tsk3]],WynKl1[Tsk3],1),"")</f>
        <v>9</v>
      </c>
      <c r="Q14" s="24">
        <v>4.3611111111111114E-2</v>
      </c>
      <c r="R14" s="24">
        <f>IF(WynKl1[[#This Row],[Tr4]]="","",IFERROR(WynKl1[[#This Row],[Tr4]]*3600*(WynKl1[[#This Row],[Vi]]/(SUMIFS(WynKl1[Vi],WynKl1[Tr4],"&gt;00:00:00")/COUNTA(WynKl1[Tr4])))/3600,""))</f>
        <v>4.2015645218209621E-2</v>
      </c>
      <c r="S14" s="25">
        <f>IFERROR(_xlfn.RANK.EQ(WynKl1[[#This Row],[Tsk4]],WynKl1[Tsk4],1),"")</f>
        <v>11</v>
      </c>
      <c r="T14" s="24">
        <v>4.1192129629629627E-2</v>
      </c>
      <c r="U14" s="24">
        <f>IF(WynKl1[[#This Row],[Tr5]]="","",IFERROR(WynKl1[[#This Row],[Tr5]]*3600*(WynKl1[[#This Row],[Vi]]/(SUMIFS(WynKl1[Vi],WynKl1[Tr5],"&gt;00:00:00")/COUNTA(WynKl1[Tr5])))/3600,""))</f>
        <v>3.9852548178259554E-2</v>
      </c>
      <c r="V14" s="25">
        <f>IFERROR(_xlfn.RANK.EQ(WynKl1[[#This Row],[Tsk5]],WynKl1[Tsk5],1),"")</f>
        <v>9</v>
      </c>
      <c r="W14" s="24">
        <v>3.2048611111111111E-2</v>
      </c>
      <c r="X14" s="24">
        <f>IF(WynKl1[[#This Row],[Tr6]]="","",IFERROR(WynKl1[[#This Row],[Tr6]]*3600*(WynKl1[[#This Row],[Vi]]/(SUMIFS(WynKl1[Vi],WynKl1[Tr6],"&gt;00:00:00")/COUNTA(WynKl1[Tr6])))/3600,""))</f>
        <v>3.0983127977058419E-2</v>
      </c>
      <c r="Y14" s="25">
        <f>IFERROR(_xlfn.RANK.EQ(WynKl1[[#This Row],[Tsk6]],WynKl1[Tsk6],1),"")</f>
        <v>12</v>
      </c>
      <c r="Z14" s="24">
        <v>2.9166666666666667E-2</v>
      </c>
      <c r="AA14" s="24">
        <f>IF(WynKl1[[#This Row],[Tr7]]="","",IFERROR(WynKl1[[#This Row],[Tr7]]*3600*(WynKl1[[#This Row],[Vi]]/(SUMIFS(WynKl1[Vi],WynKl1[Tr7],"&gt;00:00:00")/COUNTA(WynKl1[Tr7])))/3600,""))</f>
        <v>2.8196996208807227E-2</v>
      </c>
      <c r="AB14" s="25">
        <f>IFERROR(_xlfn.RANK.EQ(WynKl1[[#This Row],[Tsk7]],WynKl1[Tsk7],1),"")</f>
        <v>9</v>
      </c>
      <c r="AC14" s="24"/>
      <c r="AD14" s="24" t="str">
        <f>IF(WynKl1[[#This Row],[Tr8]]="","",IFERROR(WynKl1[[#This Row],[Tr8]]*3600*(WynKl1[[#This Row],[Vi]]/(SUMIFS(WynKl1[Vi],WynKl1[Tr8],"&gt;00:00:00")/COUNTA(WynKl1[Tr8])))/3600,""))</f>
        <v/>
      </c>
      <c r="AE14" s="25"/>
      <c r="AF14" s="24"/>
      <c r="AG14" s="24" t="str">
        <f>IF(WynKl1[[#This Row],[Tr9]]="","",IFERROR(WynKl1[[#This Row],[Tr9]]*3600*(WynKl1[[#This Row],[Vi]]/(SUMIFS(WynKl1[Vi],WynKl1[Tr9],"&gt;00:00:00")/COUNTA(WynKl1[Tr9])))/3600,""))</f>
        <v/>
      </c>
      <c r="AH14" s="25" t="str">
        <f>IFERROR(_xlfn.RANK.EQ(WynKl1[[#This Row],[Tsk9]],WynKl1[Tsk9],1),"")</f>
        <v/>
      </c>
      <c r="AI14" s="25">
        <f t="shared" si="1"/>
        <v>61</v>
      </c>
      <c r="AJ14" s="21">
        <v>8</v>
      </c>
      <c r="AK14" s="25">
        <f ca="1">IFERROR(IF(lista_startowa!$B20=0,"",lista_startowa!$B20),"")</f>
        <v>14</v>
      </c>
    </row>
    <row r="15" spans="2:37" x14ac:dyDescent="0.25">
      <c r="B15" s="73">
        <f t="shared" ca="1" si="0"/>
        <v>9</v>
      </c>
      <c r="C15" s="25" t="str">
        <f>IFERROR(IF(lista_startowa!$C10=0,"",lista_startowa!$C10),"")</f>
        <v>1</v>
      </c>
      <c r="D15" s="22" t="str">
        <f>IFERROR(IF(lista_startowa!$D10=0,"",lista_startowa!$D10),"")</f>
        <v>Marek Kmieć</v>
      </c>
      <c r="E15" s="23" t="str">
        <f>IFERROR(IF(lista_startowa!$E10=0,"",lista_startowa!$E10),"")</f>
        <v/>
      </c>
      <c r="F15" s="22" t="str">
        <f>IFERROR(IF(lista_startowa!$F10=0,"",lista_startowa!$F10),"")</f>
        <v>RAFA</v>
      </c>
      <c r="G15" s="22">
        <f>IFERROR(IF(lista_startowa!$G10=0,"",lista_startowa!$G10),"")</f>
        <v>4.6500000000000004</v>
      </c>
      <c r="H15" s="24">
        <v>3.3229166666666664E-2</v>
      </c>
      <c r="I15" s="24">
        <f>IF(WynKl1[[#This Row],[Tr1]]="","",IFERROR(WynKl1[[#This Row],[Tr1]]*3600*(WynKl1[[#This Row],[Vi]]/(SUMIFS(WynKl1[Vi],WynKl1[Tr1],"&gt;00:00:00")/COUNTA(WynKl1[Tr1])))/3600,""))</f>
        <v>3.271710681096341E-2</v>
      </c>
      <c r="J15" s="25">
        <f>IFERROR(_xlfn.RANK.EQ(WynKl1[[#This Row],[Tsk1]],WynKl1[Tsk1],1),"")</f>
        <v>10</v>
      </c>
      <c r="K15" s="24">
        <v>4.6469907407407404E-2</v>
      </c>
      <c r="L15" s="24">
        <f>IF(WynKl1[[#This Row],[Tr2]]="","",IFERROR(WynKl1[[#This Row],[Tr2]]*3600*(WynKl1[[#This Row],[Vi]]/(SUMIFS(WynKl1[Vi],WynKl1[Tr2],"&gt;00:00:00")/COUNTA(WynKl1[Tr2])))/3600,""))</f>
        <v>4.575380837548524E-2</v>
      </c>
      <c r="M15" s="25">
        <f>IFERROR(_xlfn.RANK.EQ(WynKl1[[#This Row],[Tsk2]],WynKl1[Tsk2],1),"")</f>
        <v>7</v>
      </c>
      <c r="N15" s="24">
        <v>8.3275462962962968E-2</v>
      </c>
      <c r="O15" s="24">
        <f>IF(WynKl1[[#This Row],[Tr3]]="","",IFERROR(WynKl1[[#This Row],[Tr3]]*3600*(WynKl1[[#This Row],[Vi]]/(SUMIFS(WynKl1[Vi],WynKl1[Tr3],"&gt;00:00:00")/COUNTA(WynKl1[Tr3])))/3600,""))</f>
        <v>8.1992192095047642E-2</v>
      </c>
      <c r="P15" s="25">
        <f>IFERROR(_xlfn.RANK.EQ(WynKl1[[#This Row],[Tsk3]],WynKl1[Tsk3],1),"")</f>
        <v>6</v>
      </c>
      <c r="Q15" s="24">
        <v>4.0763888888888891E-2</v>
      </c>
      <c r="R15" s="24">
        <f>IF(WynKl1[[#This Row],[Tr4]]="","",IFERROR(WynKl1[[#This Row],[Tr4]]*3600*(WynKl1[[#This Row],[Vi]]/(SUMIFS(WynKl1[Vi],WynKl1[Tr4],"&gt;00:00:00")/COUNTA(WynKl1[Tr4])))/3600,""))</f>
        <v>4.0135719327137984E-2</v>
      </c>
      <c r="S15" s="25">
        <f>IFERROR(_xlfn.RANK.EQ(WynKl1[[#This Row],[Tsk4]],WynKl1[Tsk4],1),"")</f>
        <v>8</v>
      </c>
      <c r="T15" s="24">
        <v>4.1539351851851855E-2</v>
      </c>
      <c r="U15" s="24">
        <f>IF(WynKl1[[#This Row],[Tr5]]="","",IFERROR(WynKl1[[#This Row],[Tr5]]*3600*(WynKl1[[#This Row],[Vi]]/(SUMIFS(WynKl1[Vi],WynKl1[Tr5],"&gt;00:00:00")/COUNTA(WynKl1[Tr5])))/3600,""))</f>
        <v>4.107174188729068E-2</v>
      </c>
      <c r="V15" s="25">
        <f>IFERROR(_xlfn.RANK.EQ(WynKl1[[#This Row],[Tsk5]],WynKl1[Tsk5],1),"")</f>
        <v>12</v>
      </c>
      <c r="W15" s="24">
        <v>3.1261574074074074E-2</v>
      </c>
      <c r="X15" s="24">
        <f>IF(WynKl1[[#This Row],[Tr6]]="","",IFERROR(WynKl1[[#This Row],[Tr6]]*3600*(WynKl1[[#This Row],[Vi]]/(SUMIFS(WynKl1[Vi],WynKl1[Tr6],"&gt;00:00:00")/COUNTA(WynKl1[Tr6])))/3600,""))</f>
        <v>3.0886482071685484E-2</v>
      </c>
      <c r="Y15" s="25">
        <f>IFERROR(_xlfn.RANK.EQ(WynKl1[[#This Row],[Tsk6]],WynKl1[Tsk6],1),"")</f>
        <v>11</v>
      </c>
      <c r="Z15" s="24">
        <v>2.8182870370370372E-2</v>
      </c>
      <c r="AA15" s="24">
        <f>IF(WynKl1[[#This Row],[Tr7]]="","",IFERROR(WynKl1[[#This Row],[Tr7]]*3600*(WynKl1[[#This Row],[Vi]]/(SUMIFS(WynKl1[Vi],WynKl1[Tr7],"&gt;00:00:00")/COUNTA(WynKl1[Tr7])))/3600,""))</f>
        <v>2.7844718194947854E-2</v>
      </c>
      <c r="AB15" s="25">
        <f>IFERROR(_xlfn.RANK.EQ(WynKl1[[#This Row],[Tsk7]],WynKl1[Tsk7],1),"")</f>
        <v>7</v>
      </c>
      <c r="AC15" s="24"/>
      <c r="AD15" s="24" t="str">
        <f>IF(WynKl1[[#This Row],[Tr8]]="","",IFERROR(WynKl1[[#This Row],[Tr8]]*3600*(WynKl1[[#This Row],[Vi]]/(SUMIFS(WynKl1[Vi],WynKl1[Tr8],"&gt;00:00:00")/COUNTA(WynKl1[Tr8])))/3600,""))</f>
        <v/>
      </c>
      <c r="AE15" s="25" t="str">
        <f>IFERROR(_xlfn.RANK.EQ(WynKl1[[#This Row],[Tsk8]],WynKl1[Tsk8],1),"")</f>
        <v/>
      </c>
      <c r="AF15" s="24"/>
      <c r="AG15" s="24" t="str">
        <f>IF(WynKl1[[#This Row],[Tr9]]="","",IFERROR(WynKl1[[#This Row],[Tr9]]*3600*(WynKl1[[#This Row],[Vi]]/(SUMIFS(WynKl1[Vi],WynKl1[Tr9],"&gt;00:00:00")/COUNTA(WynKl1[Tr9])))/3600,""))</f>
        <v/>
      </c>
      <c r="AH15" s="25" t="str">
        <f>IFERROR(_xlfn.RANK.EQ(WynKl1[[#This Row],[Tsk9]],WynKl1[Tsk9],1),"")</f>
        <v/>
      </c>
      <c r="AI15" s="25">
        <f t="shared" si="1"/>
        <v>61</v>
      </c>
      <c r="AJ15" s="21">
        <v>9</v>
      </c>
      <c r="AK15" s="25">
        <f ca="1">IFERROR(IF(lista_startowa!$B10=0,"",lista_startowa!$B10),"")</f>
        <v>4</v>
      </c>
    </row>
    <row r="16" spans="2:37" x14ac:dyDescent="0.25">
      <c r="B16" s="73">
        <f t="shared" ca="1" si="0"/>
        <v>10</v>
      </c>
      <c r="C16" s="25" t="str">
        <f>IFERROR(IF(lista_startowa!$C12=0,"",lista_startowa!$C12),"")</f>
        <v>24</v>
      </c>
      <c r="D16" s="22" t="str">
        <f>IFERROR(IF(lista_startowa!$D12=0,"",lista_startowa!$D12),"")</f>
        <v>Mirosław Sztuba</v>
      </c>
      <c r="E16" s="23" t="str">
        <f>IFERROR(IF(lista_startowa!$E12=0,"",lista_startowa!$E12),"")</f>
        <v/>
      </c>
      <c r="F16" s="22" t="str">
        <f>IFERROR(IF(lista_startowa!$F12=0,"",lista_startowa!$F12),"")</f>
        <v>BLACK&amp;WHITE</v>
      </c>
      <c r="G16" s="22">
        <f>IFERROR(IF(lista_startowa!$G12=0,"",lista_startowa!$G12),"")</f>
        <v>4.96</v>
      </c>
      <c r="H16" s="24">
        <v>3.3344907407407406E-2</v>
      </c>
      <c r="I16" s="24">
        <f>IF(WynKl1[[#This Row],[Tr1]]="","",IFERROR(WynKl1[[#This Row],[Tr1]]*3600*(WynKl1[[#This Row],[Vi]]/(SUMIFS(WynKl1[Vi],WynKl1[Tr1],"&gt;00:00:00")/COUNTA(WynKl1[Tr1])))/3600,""))</f>
        <v>3.5019801591969567E-2</v>
      </c>
      <c r="J16" s="25">
        <f>IFERROR(_xlfn.RANK.EQ(WynKl1[[#This Row],[Tsk1]],WynKl1[Tsk1],1),"")</f>
        <v>15</v>
      </c>
      <c r="K16" s="24">
        <v>4.3611111111111114E-2</v>
      </c>
      <c r="L16" s="24">
        <f>IF(WynKl1[[#This Row],[Tr2]]="","",IFERROR(WynKl1[[#This Row],[Tr2]]*3600*(WynKl1[[#This Row],[Vi]]/(SUMIFS(WynKl1[Vi],WynKl1[Tr2],"&gt;00:00:00")/COUNTA(WynKl1[Tr2])))/3600,""))</f>
        <v>4.5801670391718619E-2</v>
      </c>
      <c r="M16" s="25">
        <f>IFERROR(_xlfn.RANK.EQ(WynKl1[[#This Row],[Tsk2]],WynKl1[Tsk2],1),"")</f>
        <v>8</v>
      </c>
      <c r="N16" s="24">
        <v>8.1504629629629635E-2</v>
      </c>
      <c r="O16" s="24">
        <f>IF(WynKl1[[#This Row],[Tr3]]="","",IFERROR(WynKl1[[#This Row],[Tr3]]*3600*(WynKl1[[#This Row],[Vi]]/(SUMIFS(WynKl1[Vi],WynKl1[Tr3],"&gt;00:00:00")/COUNTA(WynKl1[Tr3])))/3600,""))</f>
        <v>8.559855703250599E-2</v>
      </c>
      <c r="P16" s="25">
        <f>IFERROR(_xlfn.RANK.EQ(WynKl1[[#This Row],[Tsk3]],WynKl1[Tsk3],1),"")</f>
        <v>13</v>
      </c>
      <c r="Q16" s="24">
        <v>3.7372685185185182E-2</v>
      </c>
      <c r="R16" s="24">
        <f>IF(WynKl1[[#This Row],[Tr4]]="","",IFERROR(WynKl1[[#This Row],[Tr4]]*3600*(WynKl1[[#This Row],[Vi]]/(SUMIFS(WynKl1[Vi],WynKl1[Tr4],"&gt;00:00:00")/COUNTA(WynKl1[Tr4])))/3600,""))</f>
        <v>3.9249892169548675E-2</v>
      </c>
      <c r="S16" s="25">
        <f>IFERROR(_xlfn.RANK.EQ(WynKl1[[#This Row],[Tsk4]],WynKl1[Tsk4],1),"")</f>
        <v>5</v>
      </c>
      <c r="T16" s="24">
        <v>3.7731481481481484E-2</v>
      </c>
      <c r="U16" s="24">
        <f>IF(WynKl1[[#This Row],[Tr5]]="","",IFERROR(WynKl1[[#This Row],[Tr5]]*3600*(WynKl1[[#This Row],[Vi]]/(SUMIFS(WynKl1[Vi],WynKl1[Tr5],"&gt;00:00:00")/COUNTA(WynKl1[Tr5])))/3600,""))</f>
        <v>3.9793852639381094E-2</v>
      </c>
      <c r="V16" s="25">
        <f>IFERROR(_xlfn.RANK.EQ(WynKl1[[#This Row],[Tsk5]],WynKl1[Tsk5],1),"")</f>
        <v>7</v>
      </c>
      <c r="W16" s="24">
        <v>2.8611111111111111E-2</v>
      </c>
      <c r="X16" s="24">
        <f>IF(WynKl1[[#This Row],[Tr6]]="","",IFERROR(WynKl1[[#This Row],[Tr6]]*3600*(WynKl1[[#This Row],[Vi]]/(SUMIFS(WynKl1[Vi],WynKl1[Tr6],"&gt;00:00:00")/COUNTA(WynKl1[Tr6])))/3600,""))</f>
        <v>3.0152342068352569E-2</v>
      </c>
      <c r="Y16" s="25">
        <f>IFERROR(_xlfn.RANK.EQ(WynKl1[[#This Row],[Tsk6]],WynKl1[Tsk6],1),"")</f>
        <v>7</v>
      </c>
      <c r="Z16" s="24">
        <v>2.7465277777777779E-2</v>
      </c>
      <c r="AA16" s="24">
        <f>IF(WynKl1[[#This Row],[Tr7]]="","",IFERROR(WynKl1[[#This Row],[Tr7]]*3600*(WynKl1[[#This Row],[Vi]]/(SUMIFS(WynKl1[Vi],WynKl1[Tr7],"&gt;00:00:00")/COUNTA(WynKl1[Tr7])))/3600,""))</f>
        <v>2.8944784679692814E-2</v>
      </c>
      <c r="AB16" s="25">
        <f>IFERROR(_xlfn.RANK.EQ(WynKl1[[#This Row],[Tsk7]],WynKl1[Tsk7],1),"")</f>
        <v>12</v>
      </c>
      <c r="AC16" s="24"/>
      <c r="AD16" s="24" t="str">
        <f>IF(WynKl1[[#This Row],[Tr8]]="","",IFERROR(WynKl1[[#This Row],[Tr8]]*3600*(WynKl1[[#This Row],[Vi]]/(SUMIFS(WynKl1[Vi],WynKl1[Tr8],"&gt;00:00:00")/COUNTA(WynKl1[Tr8])))/3600,""))</f>
        <v/>
      </c>
      <c r="AE16" s="25" t="str">
        <f>IFERROR(_xlfn.RANK.EQ(WynKl1[[#This Row],[Tsk8]],WynKl1[Tsk8],1),"")</f>
        <v/>
      </c>
      <c r="AF16" s="24"/>
      <c r="AG16" s="24" t="str">
        <f>IF(WynKl1[[#This Row],[Tr9]]="","",IFERROR(WynKl1[[#This Row],[Tr9]]*3600*(WynKl1[[#This Row],[Vi]]/(SUMIFS(WynKl1[Vi],WynKl1[Tr9],"&gt;00:00:00")/COUNTA(WynKl1[Tr9])))/3600,""))</f>
        <v/>
      </c>
      <c r="AH16" s="25" t="str">
        <f>IFERROR(_xlfn.RANK.EQ(WynKl1[[#This Row],[Tsk9]],WynKl1[Tsk9],1),"")</f>
        <v/>
      </c>
      <c r="AI16" s="25">
        <f t="shared" si="1"/>
        <v>67</v>
      </c>
      <c r="AJ16" s="21">
        <v>10</v>
      </c>
      <c r="AK16" s="25">
        <f ca="1">IFERROR(IF(lista_startowa!$B12=0,"",lista_startowa!$B12),"")</f>
        <v>6</v>
      </c>
    </row>
    <row r="17" spans="2:37" x14ac:dyDescent="0.25">
      <c r="B17" s="73">
        <f t="shared" ca="1" si="0"/>
        <v>11</v>
      </c>
      <c r="C17" s="25">
        <f>IFERROR(IF(lista_startowa!$C21=0,"",lista_startowa!$C21),"")</f>
        <v>17</v>
      </c>
      <c r="D17" s="22" t="str">
        <f>IFERROR(IF(lista_startowa!$D21=0,"",lista_startowa!$D21),"")</f>
        <v>Bartłomiej Michałek</v>
      </c>
      <c r="E17" s="23" t="str">
        <f>IFERROR(IF(lista_startowa!$E21=0,"",lista_startowa!$E21),"")</f>
        <v/>
      </c>
      <c r="F17" s="22" t="str">
        <f>IFERROR(IF(lista_startowa!$F21=0,"",lista_startowa!$F21),"")</f>
        <v>CIVITAS KIELCENSIS</v>
      </c>
      <c r="G17" s="22">
        <f>IFERROR(IF(lista_startowa!$G21=0,"",lista_startowa!$G21),"")</f>
        <v>4.28</v>
      </c>
      <c r="H17" s="24">
        <v>3.5555555555555556E-2</v>
      </c>
      <c r="I17" s="24">
        <f>IF(WynKl1[[#This Row],[Tr1]]="","",IFERROR(WynKl1[[#This Row],[Tr1]]*3600*(WynKl1[[#This Row],[Vi]]/(SUMIFS(WynKl1[Vi],WynKl1[Tr1],"&gt;00:00:00")/COUNTA(WynKl1[Tr1])))/3600,""))</f>
        <v>3.2222091518644864E-2</v>
      </c>
      <c r="J17" s="25">
        <f>IFERROR(_xlfn.RANK.EQ(WynKl1[[#This Row],[Tsk1]],WynKl1[Tsk1],1),"")</f>
        <v>8</v>
      </c>
      <c r="K17" s="24">
        <v>5.846064814814815E-2</v>
      </c>
      <c r="L17" s="24">
        <f>IF(WynKl1[[#This Row],[Tr2]]="","",IFERROR(WynKl1[[#This Row],[Tr2]]*3600*(WynKl1[[#This Row],[Vi]]/(SUMIFS(WynKl1[Vi],WynKl1[Tr2],"&gt;00:00:00")/COUNTA(WynKl1[Tr2])))/3600,""))</f>
        <v>5.2979747480688552E-2</v>
      </c>
      <c r="M17" s="25">
        <f>IFERROR(_xlfn.RANK.EQ(WynKl1[[#This Row],[Tsk2]],WynKl1[Tsk2],1),"")</f>
        <v>18</v>
      </c>
      <c r="N17" s="24">
        <v>9.2962962962962969E-2</v>
      </c>
      <c r="O17" s="24">
        <f>IF(WynKl1[[#This Row],[Tr3]]="","",IFERROR(WynKl1[[#This Row],[Tr3]]*3600*(WynKl1[[#This Row],[Vi]]/(SUMIFS(WynKl1[Vi],WynKl1[Tr3],"&gt;00:00:00")/COUNTA(WynKl1[Tr3])))/3600,""))</f>
        <v>8.4247343449790235E-2</v>
      </c>
      <c r="P17" s="25">
        <f>IFERROR(_xlfn.RANK.EQ(WynKl1[[#This Row],[Tsk3]],WynKl1[Tsk3],1),"")</f>
        <v>11</v>
      </c>
      <c r="Q17" s="24">
        <v>4.6967592592592596E-2</v>
      </c>
      <c r="R17" s="24">
        <f>IF(WynKl1[[#This Row],[Tr4]]="","",IFERROR(WynKl1[[#This Row],[Tr4]]*3600*(WynKl1[[#This Row],[Vi]]/(SUMIFS(WynKl1[Vi],WynKl1[Tr4],"&gt;00:00:00")/COUNTA(WynKl1[Tr4])))/3600,""))</f>
        <v>4.2564208132376588E-2</v>
      </c>
      <c r="S17" s="25">
        <f>IFERROR(_xlfn.RANK.EQ(WynKl1[[#This Row],[Tsk4]],WynKl1[Tsk4],1),"")</f>
        <v>14</v>
      </c>
      <c r="T17" s="24">
        <v>4.3784722222222225E-2</v>
      </c>
      <c r="U17" s="24">
        <f>IF(WynKl1[[#This Row],[Tr5]]="","",IFERROR(WynKl1[[#This Row],[Tr5]]*3600*(WynKl1[[#This Row],[Vi]]/(SUMIFS(WynKl1[Vi],WynKl1[Tr5],"&gt;00:00:00")/COUNTA(WynKl1[Tr5])))/3600,""))</f>
        <v>3.9847109304426372E-2</v>
      </c>
      <c r="V17" s="25">
        <f>IFERROR(_xlfn.RANK.EQ(WynKl1[[#This Row],[Tsk5]],WynKl1[Tsk5],1),"")</f>
        <v>8</v>
      </c>
      <c r="W17" s="24">
        <v>3.335648148148148E-2</v>
      </c>
      <c r="X17" s="24">
        <f>IF(WynKl1[[#This Row],[Tr6]]="","",IFERROR(WynKl1[[#This Row],[Tr6]]*3600*(WynKl1[[#This Row],[Vi]]/(SUMIFS(WynKl1[Vi],WynKl1[Tr6],"&gt;00:00:00")/COUNTA(WynKl1[Tr6])))/3600,""))</f>
        <v>3.0333928166386605E-2</v>
      </c>
      <c r="Y17" s="25">
        <f>IFERROR(_xlfn.RANK.EQ(WynKl1[[#This Row],[Tsk6]],WynKl1[Tsk6],1),"")</f>
        <v>8</v>
      </c>
      <c r="Z17" s="24">
        <v>2.9861111111111113E-2</v>
      </c>
      <c r="AA17" s="24">
        <f>IF(WynKl1[[#This Row],[Tr7]]="","",IFERROR(WynKl1[[#This Row],[Tr7]]*3600*(WynKl1[[#This Row],[Vi]]/(SUMIFS(WynKl1[Vi],WynKl1[Tr7],"&gt;00:00:00")/COUNTA(WynKl1[Tr7])))/3600,""))</f>
        <v>2.7155286144787457E-2</v>
      </c>
      <c r="AB17" s="25">
        <f>IFERROR(_xlfn.RANK.EQ(WynKl1[[#This Row],[Tsk7]],WynKl1[Tsk7],1),"")</f>
        <v>3</v>
      </c>
      <c r="AC17" s="24"/>
      <c r="AD17" s="24" t="str">
        <f>IF(WynKl1[[#This Row],[Tr8]]="","",IFERROR(WynKl1[[#This Row],[Tr8]]*3600*(WynKl1[[#This Row],[Vi]]/(SUMIFS(WynKl1[Vi],WynKl1[Tr8],"&gt;00:00:00")/COUNTA(WynKl1[Tr8])))/3600,""))</f>
        <v/>
      </c>
      <c r="AE17" s="25" t="str">
        <f>IFERROR(_xlfn.RANK.EQ(WynKl1[[#This Row],[Tsk8]],WynKl1[Tsk8],1),"")</f>
        <v/>
      </c>
      <c r="AF17" s="24"/>
      <c r="AG17" s="24" t="str">
        <f>IF(WynKl1[[#This Row],[Tr9]]="","",IFERROR(WynKl1[[#This Row],[Tr9]]*3600*(WynKl1[[#This Row],[Vi]]/(SUMIFS(WynKl1[Vi],WynKl1[Tr9],"&gt;00:00:00")/COUNTA(WynKl1[Tr9])))/3600,""))</f>
        <v/>
      </c>
      <c r="AH17" s="25" t="str">
        <f>IFERROR(_xlfn.RANK.EQ(WynKl1[[#This Row],[Tsk9]],WynKl1[Tsk9],1),"")</f>
        <v/>
      </c>
      <c r="AI17" s="25">
        <f t="shared" si="1"/>
        <v>70</v>
      </c>
      <c r="AJ17" s="21">
        <v>11</v>
      </c>
      <c r="AK17" s="25">
        <f ca="1">IFERROR(IF(lista_startowa!$B21=0,"",lista_startowa!$B21),"")</f>
        <v>15</v>
      </c>
    </row>
    <row r="18" spans="2:37" x14ac:dyDescent="0.25">
      <c r="B18" s="73">
        <f t="shared" ca="1" si="0"/>
        <v>12</v>
      </c>
      <c r="C18" s="25" t="str">
        <f>IFERROR(IF(lista_startowa!$C17=0,"",lista_startowa!$C17),"")</f>
        <v>23</v>
      </c>
      <c r="D18" s="22" t="str">
        <f>IFERROR(IF(lista_startowa!$D17=0,"",lista_startowa!$D17),"")</f>
        <v>Maciej Mikołajczyk</v>
      </c>
      <c r="E18" s="23" t="str">
        <f>IFERROR(IF(lista_startowa!$E17=0,"",lista_startowa!$E17),"")</f>
        <v/>
      </c>
      <c r="F18" s="22" t="str">
        <f>IFERROR(IF(lista_startowa!$F17=0,"",lista_startowa!$F17),"")</f>
        <v>CALIBRA</v>
      </c>
      <c r="G18" s="22">
        <f>IFERROR(IF(lista_startowa!$G17=0,"",lista_startowa!$G17),"")</f>
        <v>4.63</v>
      </c>
      <c r="H18" s="24">
        <v>3.453703703703704E-2</v>
      </c>
      <c r="I18" s="24">
        <f>IF(WynKl1[[#This Row],[Tr1]]="","",IFERROR(WynKl1[[#This Row],[Tr1]]*3600*(WynKl1[[#This Row],[Vi]]/(SUMIFS(WynKl1[Vi],WynKl1[Tr1],"&gt;00:00:00")/COUNTA(WynKl1[Tr1])))/3600,""))</f>
        <v>3.3858565658942089E-2</v>
      </c>
      <c r="J18" s="25">
        <f>IFERROR(_xlfn.RANK.EQ(WynKl1[[#This Row],[Tsk1]],WynKl1[Tsk1],1),"")</f>
        <v>12</v>
      </c>
      <c r="K18" s="24">
        <v>4.7476851851851853E-2</v>
      </c>
      <c r="L18" s="24">
        <f>IF(WynKl1[[#This Row],[Tr2]]="","",IFERROR(WynKl1[[#This Row],[Tr2]]*3600*(WynKl1[[#This Row],[Vi]]/(SUMIFS(WynKl1[Vi],WynKl1[Tr2],"&gt;00:00:00")/COUNTA(WynKl1[Tr2])))/3600,""))</f>
        <v>4.6544181076736073E-2</v>
      </c>
      <c r="M18" s="25">
        <f>IFERROR(_xlfn.RANK.EQ(WynKl1[[#This Row],[Tsk2]],WynKl1[Tsk2],1),"")</f>
        <v>10</v>
      </c>
      <c r="N18" s="24">
        <v>8.6956018518518516E-2</v>
      </c>
      <c r="O18" s="24">
        <f>IF(WynKl1[[#This Row],[Tr3]]="","",IFERROR(WynKl1[[#This Row],[Tr3]]*3600*(WynKl1[[#This Row],[Vi]]/(SUMIFS(WynKl1[Vi],WynKl1[Tr3],"&gt;00:00:00")/COUNTA(WynKl1[Tr3])))/3600,""))</f>
        <v>8.5247789475747945E-2</v>
      </c>
      <c r="P18" s="25">
        <v>16</v>
      </c>
      <c r="Q18" s="24">
        <v>4.1365740740740738E-2</v>
      </c>
      <c r="R18" s="24">
        <f>IF(WynKl1[[#This Row],[Tr4]]="","",IFERROR(WynKl1[[#This Row],[Tr4]]*3600*(WynKl1[[#This Row],[Vi]]/(SUMIFS(WynKl1[Vi],WynKl1[Tr4],"&gt;00:00:00")/COUNTA(WynKl1[Tr4])))/3600,""))</f>
        <v>4.0553121201427282E-2</v>
      </c>
      <c r="S18" s="25">
        <f>IFERROR(_xlfn.RANK.EQ(WynKl1[[#This Row],[Tsk4]],WynKl1[Tsk4],1),"")</f>
        <v>9</v>
      </c>
      <c r="T18" s="24">
        <v>4.327546296296296E-2</v>
      </c>
      <c r="U18" s="24">
        <f>IF(WynKl1[[#This Row],[Tr5]]="","",IFERROR(WynKl1[[#This Row],[Tr5]]*3600*(WynKl1[[#This Row],[Vi]]/(SUMIFS(WynKl1[Vi],WynKl1[Tr5],"&gt;00:00:00")/COUNTA(WynKl1[Tr5])))/3600,""))</f>
        <v>4.260427379380631E-2</v>
      </c>
      <c r="V18" s="25">
        <f>IFERROR(_xlfn.RANK.EQ(WynKl1[[#This Row],[Tsk5]],WynKl1[Tsk5],1),"")</f>
        <v>14</v>
      </c>
      <c r="W18" s="24">
        <v>3.1064814814814816E-2</v>
      </c>
      <c r="X18" s="24">
        <f>IF(WynKl1[[#This Row],[Tr6]]="","",IFERROR(WynKl1[[#This Row],[Tr6]]*3600*(WynKl1[[#This Row],[Vi]]/(SUMIFS(WynKl1[Vi],WynKl1[Tr6],"&gt;00:00:00")/COUNTA(WynKl1[Tr6])))/3600,""))</f>
        <v>3.0560074666592604E-2</v>
      </c>
      <c r="Y18" s="25">
        <f>IFERROR(_xlfn.RANK.EQ(WynKl1[[#This Row],[Tsk6]],WynKl1[Tsk6],1),"")</f>
        <v>10</v>
      </c>
      <c r="Z18" s="24">
        <v>3.048611111111111E-2</v>
      </c>
      <c r="AA18" s="24">
        <f>IF(WynKl1[[#This Row],[Tr7]]="","",IFERROR(WynKl1[[#This Row],[Tr7]]*3600*(WynKl1[[#This Row],[Vi]]/(SUMIFS(WynKl1[Vi],WynKl1[Tr7],"&gt;00:00:00")/COUNTA(WynKl1[Tr7])))/3600,""))</f>
        <v>2.9990773722729101E-2</v>
      </c>
      <c r="AB18" s="25">
        <f>IFERROR(_xlfn.RANK.EQ(WynKl1[[#This Row],[Tsk7]],WynKl1[Tsk7],1),"")</f>
        <v>14</v>
      </c>
      <c r="AC18" s="24"/>
      <c r="AD18" s="24" t="str">
        <f>IF(WynKl1[[#This Row],[Tr8]]="","",IFERROR(WynKl1[[#This Row],[Tr8]]*3600*(WynKl1[[#This Row],[Vi]]/(SUMIFS(WynKl1[Vi],WynKl1[Tr8],"&gt;00:00:00")/COUNTA(WynKl1[Tr8])))/3600,""))</f>
        <v/>
      </c>
      <c r="AE18" s="25"/>
      <c r="AF18" s="24"/>
      <c r="AG18" s="24" t="str">
        <f>IF(WynKl1[[#This Row],[Tr9]]="","",IFERROR(WynKl1[[#This Row],[Tr9]]*3600*(WynKl1[[#This Row],[Vi]]/(SUMIFS(WynKl1[Vi],WynKl1[Tr9],"&gt;00:00:00")/COUNTA(WynKl1[Tr9])))/3600,""))</f>
        <v/>
      </c>
      <c r="AH18" s="25" t="str">
        <f>IFERROR(_xlfn.RANK.EQ(WynKl1[[#This Row],[Tsk9]],WynKl1[Tsk9],1),"")</f>
        <v/>
      </c>
      <c r="AI18" s="25">
        <f>IF(J18="","",IF(ISBLANK(J18),"",SUM(J18,M18,P18,S18,V18,Y18,AB18,AE18,AH18)+SUM(COUNTIF(J18:AH18,"DSQ"),COUNTIF(J18:AH18,"OCS"),COUNTIF(J18:AH18,"DNF"),COUNTIF(J18:AH18,"DNC"),COUNTIF(J18:AH18,"DNE"),COUNTIF(J18:AH18,"RET"),COUNTIF(J18:AH18,"BFD"),COUNTIF(J18:AH18,"UFD"),COUNTIF(J18:AH18,"NSC"),COUNTIF(J18:AH18,"DNS"))*$E$27))</f>
        <v>85</v>
      </c>
      <c r="AJ18" s="21">
        <v>12</v>
      </c>
      <c r="AK18" s="25">
        <f ca="1">IFERROR(IF(lista_startowa!$B17=0,"",lista_startowa!$B17),"")</f>
        <v>11</v>
      </c>
    </row>
    <row r="19" spans="2:37" x14ac:dyDescent="0.25">
      <c r="B19" s="73">
        <f t="shared" ca="1" si="0"/>
        <v>13</v>
      </c>
      <c r="C19" s="25" t="str">
        <f>IFERROR(IF(lista_startowa!$C18=0,"",lista_startowa!$C18),"")</f>
        <v>26</v>
      </c>
      <c r="D19" s="22" t="str">
        <f>IFERROR(IF(lista_startowa!$D18=0,"",lista_startowa!$D18),"")</f>
        <v>Mariusz Augustyniak</v>
      </c>
      <c r="E19" s="23" t="str">
        <f>IFERROR(IF(lista_startowa!$E18=0,"",lista_startowa!$E18),"")</f>
        <v/>
      </c>
      <c r="F19" s="22" t="str">
        <f>IFERROR(IF(lista_startowa!$F18=0,"",lista_startowa!$F18),"")</f>
        <v>PRZYJACIEL WIATR</v>
      </c>
      <c r="G19" s="22">
        <f>IFERROR(IF(lista_startowa!$G18=0,"",lista_startowa!$G18),"")</f>
        <v>5.03</v>
      </c>
      <c r="H19" s="24">
        <v>3.2384259259259258E-2</v>
      </c>
      <c r="I19" s="24">
        <f>IF(WynKl1[[#This Row],[Tr1]]="","",IFERROR(WynKl1[[#This Row],[Tr1]]*3600*(WynKl1[[#This Row],[Vi]]/(SUMIFS(WynKl1[Vi],WynKl1[Tr1],"&gt;00:00:00")/COUNTA(WynKl1[Tr1])))/3600,""))</f>
        <v>3.4490893228247652E-2</v>
      </c>
      <c r="J19" s="25">
        <f>IFERROR(_xlfn.RANK.EQ(WynKl1[[#This Row],[Tsk1]],WynKl1[Tsk1],1),"")</f>
        <v>13</v>
      </c>
      <c r="K19" s="24">
        <v>4.4502314814814814E-2</v>
      </c>
      <c r="L19" s="24">
        <f>IF(WynKl1[[#This Row],[Tr2]]="","",IFERROR(WynKl1[[#This Row],[Tr2]]*3600*(WynKl1[[#This Row],[Vi]]/(SUMIFS(WynKl1[Vi],WynKl1[Tr2],"&gt;00:00:00")/COUNTA(WynKl1[Tr2])))/3600,""))</f>
        <v>4.7397242481276712E-2</v>
      </c>
      <c r="M19" s="25">
        <f>IFERROR(_xlfn.RANK.EQ(WynKl1[[#This Row],[Tsk2]],WynKl1[Tsk2],1),"")</f>
        <v>12</v>
      </c>
      <c r="N19" s="24">
        <v>7.8078703703703706E-2</v>
      </c>
      <c r="O19" s="24">
        <f>IF(WynKl1[[#This Row],[Tr3]]="","",IFERROR(WynKl1[[#This Row],[Tr3]]*3600*(WynKl1[[#This Row],[Vi]]/(SUMIFS(WynKl1[Vi],WynKl1[Tr3],"&gt;00:00:00")/COUNTA(WynKl1[Tr3])))/3600,""))</f>
        <v>8.3157814766890159E-2</v>
      </c>
      <c r="P19" s="25">
        <f>IFERROR(_xlfn.RANK.EQ(WynKl1[[#This Row],[Tsk3]],WynKl1[Tsk3],1),"")</f>
        <v>8</v>
      </c>
      <c r="Q19" s="24">
        <v>3.965277777777778E-2</v>
      </c>
      <c r="R19" s="24">
        <f>IF(WynKl1[[#This Row],[Tr4]]="","",IFERROR(WynKl1[[#This Row],[Tr4]]*3600*(WynKl1[[#This Row],[Vi]]/(SUMIFS(WynKl1[Vi],WynKl1[Tr4],"&gt;00:00:00")/COUNTA(WynKl1[Tr4])))/3600,""))</f>
        <v>4.2232237383837197E-2</v>
      </c>
      <c r="S19" s="25">
        <f>IFERROR(_xlfn.RANK.EQ(WynKl1[[#This Row],[Tsk4]],WynKl1[Tsk4],1),"")</f>
        <v>13</v>
      </c>
      <c r="T19" s="24">
        <v>4.1018518518518517E-2</v>
      </c>
      <c r="U19" s="24">
        <f>IF(WynKl1[[#This Row],[Tr5]]="","",IFERROR(WynKl1[[#This Row],[Tr5]]*3600*(WynKl1[[#This Row],[Vi]]/(SUMIFS(WynKl1[Vi],WynKl1[Tr5],"&gt;00:00:00")/COUNTA(WynKl1[Tr5])))/3600,""))</f>
        <v>4.3871088411738812E-2</v>
      </c>
      <c r="V19" s="25">
        <f>IFERROR(_xlfn.RANK.EQ(WynKl1[[#This Row],[Tsk5]],WynKl1[Tsk5],1),"")</f>
        <v>16</v>
      </c>
      <c r="W19" s="24">
        <v>3.2245370370370369E-2</v>
      </c>
      <c r="X19" s="24">
        <f>IF(WynKl1[[#This Row],[Tr6]]="","",IFERROR(WynKl1[[#This Row],[Tr6]]*3600*(WynKl1[[#This Row],[Vi]]/(SUMIFS(WynKl1[Vi],WynKl1[Tr6],"&gt;00:00:00")/COUNTA(WynKl1[Tr6])))/3600,""))</f>
        <v>3.4461962509315963E-2</v>
      </c>
      <c r="Y19" s="25">
        <f>IFERROR(_xlfn.RANK.EQ(WynKl1[[#This Row],[Tsk6]],WynKl1[Tsk6],1),"")</f>
        <v>17</v>
      </c>
      <c r="Z19" s="24">
        <v>2.7175925925925926E-2</v>
      </c>
      <c r="AA19" s="24">
        <f>IF(WynKl1[[#This Row],[Tr7]]="","",IFERROR(WynKl1[[#This Row],[Tr7]]*3600*(WynKl1[[#This Row],[Vi]]/(SUMIFS(WynKl1[Vi],WynKl1[Tr7],"&gt;00:00:00")/COUNTA(WynKl1[Tr7])))/3600,""))</f>
        <v>2.9044037319409143E-2</v>
      </c>
      <c r="AB19" s="25">
        <f>IFERROR(_xlfn.RANK.EQ(WynKl1[[#This Row],[Tsk7]],WynKl1[Tsk7],1),"")</f>
        <v>13</v>
      </c>
      <c r="AC19" s="24"/>
      <c r="AD19" s="24" t="str">
        <f>IF(WynKl1[[#This Row],[Tr8]]="","",IFERROR(WynKl1[[#This Row],[Tr8]]*3600*(WynKl1[[#This Row],[Vi]]/(SUMIFS(WynKl1[Vi],WynKl1[Tr8],"&gt;00:00:00")/COUNTA(WynKl1[Tr8])))/3600,""))</f>
        <v/>
      </c>
      <c r="AE19" s="25"/>
      <c r="AF19" s="24"/>
      <c r="AG19" s="24" t="str">
        <f>IF(WynKl1[[#This Row],[Tr9]]="","",IFERROR(WynKl1[[#This Row],[Tr9]]*3600*(WynKl1[[#This Row],[Vi]]/(SUMIFS(WynKl1[Vi],WynKl1[Tr9],"&gt;00:00:00")/COUNTA(WynKl1[Tr9])))/3600,""))</f>
        <v/>
      </c>
      <c r="AH19" s="25" t="str">
        <f>IFERROR(_xlfn.RANK.EQ(WynKl1[[#This Row],[Tsk9]],WynKl1[Tsk9],1),"")</f>
        <v/>
      </c>
      <c r="AI19" s="25">
        <f t="shared" si="1"/>
        <v>92</v>
      </c>
      <c r="AJ19" s="21">
        <v>13</v>
      </c>
      <c r="AK19" s="25">
        <f ca="1">IFERROR(IF(lista_startowa!$B18=0,"",lista_startowa!$B18),"")</f>
        <v>12</v>
      </c>
    </row>
    <row r="20" spans="2:37" x14ac:dyDescent="0.25">
      <c r="B20" s="73">
        <f t="shared" ca="1" si="0"/>
        <v>14</v>
      </c>
      <c r="C20" s="25" t="str">
        <f>IFERROR(IF(lista_startowa!$C8=0,"",lista_startowa!$C8),"")</f>
        <v>50</v>
      </c>
      <c r="D20" s="22" t="str">
        <f>IFERROR(IF(lista_startowa!$D8=0,"",lista_startowa!$D8),"")</f>
        <v>Marcin Kacprzak</v>
      </c>
      <c r="E20" s="23" t="str">
        <f>IFERROR(IF(lista_startowa!$E8=0,"",lista_startowa!$E8),"")</f>
        <v/>
      </c>
      <c r="F20" s="22" t="str">
        <f>IFERROR(IF(lista_startowa!$F8=0,"",lista_startowa!$F8),"")</f>
        <v>CHIMERA</v>
      </c>
      <c r="G20" s="22">
        <f>IFERROR(IF(lista_startowa!$G8=0,"",lista_startowa!$G8),"")</f>
        <v>4.78</v>
      </c>
      <c r="H20" s="24">
        <v>3.4189814814814812E-2</v>
      </c>
      <c r="I20" s="24">
        <f>IF(WynKl1[[#This Row],[Tr1]]="","",IFERROR(WynKl1[[#This Row],[Tr1]]*3600*(WynKl1[[#This Row],[Vi]]/(SUMIFS(WynKl1[Vi],WynKl1[Tr1],"&gt;00:00:00")/COUNTA(WynKl1[Tr1])))/3600,""))</f>
        <v>3.4604066188291573E-2</v>
      </c>
      <c r="J20" s="25">
        <f>IFERROR(_xlfn.RANK.EQ(WynKl1[[#This Row],[Tsk1]],WynKl1[Tsk1],1),"")</f>
        <v>14</v>
      </c>
      <c r="K20" s="24">
        <v>4.6851851851851853E-2</v>
      </c>
      <c r="L20" s="24">
        <f>IF(WynKl1[[#This Row],[Tr2]]="","",IFERROR(WynKl1[[#This Row],[Tr2]]*3600*(WynKl1[[#This Row],[Vi]]/(SUMIFS(WynKl1[Vi],WynKl1[Tr2],"&gt;00:00:00")/COUNTA(WynKl1[Tr2])))/3600,""))</f>
        <v>4.7419519272242479E-2</v>
      </c>
      <c r="M20" s="25">
        <f>IFERROR(_xlfn.RANK.EQ(WynKl1[[#This Row],[Tsk2]],WynKl1[Tsk2],1),"")</f>
        <v>13</v>
      </c>
      <c r="N20" s="24">
        <v>8.7013888888888891E-2</v>
      </c>
      <c r="O20" s="24">
        <f>IF(WynKl1[[#This Row],[Tr3]]="","",IFERROR(WynKl1[[#This Row],[Tr3]]*3600*(WynKl1[[#This Row],[Vi]]/(SUMIFS(WynKl1[Vi],WynKl1[Tr3],"&gt;00:00:00")/COUNTA(WynKl1[Tr3])))/3600,""))</f>
        <v>8.8068168450770493E-2</v>
      </c>
      <c r="P20" s="25">
        <f>IFERROR(_xlfn.RANK.EQ(WynKl1[[#This Row],[Tsk3]],WynKl1[Tsk3],1),"")</f>
        <v>16</v>
      </c>
      <c r="Q20" s="24">
        <v>4.1597222222222223E-2</v>
      </c>
      <c r="R20" s="24">
        <f>IF(WynKl1[[#This Row],[Tr4]]="","",IFERROR(WynKl1[[#This Row],[Tr4]]*3600*(WynKl1[[#This Row],[Vi]]/(SUMIFS(WynKl1[Vi],WynKl1[Tr4],"&gt;00:00:00")/COUNTA(WynKl1[Tr4])))/3600,""))</f>
        <v>4.2101223385484061E-2</v>
      </c>
      <c r="S20" s="25">
        <f>IFERROR(_xlfn.RANK.EQ(WynKl1[[#This Row],[Tsk4]],WynKl1[Tsk4],1),"")</f>
        <v>12</v>
      </c>
      <c r="T20" s="24">
        <v>4.207175925925926E-2</v>
      </c>
      <c r="U20" s="24">
        <f>IF(WynKl1[[#This Row],[Tr5]]="","",IFERROR(WynKl1[[#This Row],[Tr5]]*3600*(WynKl1[[#This Row],[Vi]]/(SUMIFS(WynKl1[Vi],WynKl1[Tr5],"&gt;00:00:00")/COUNTA(WynKl1[Tr5])))/3600,""))</f>
        <v>4.2761115164570457E-2</v>
      </c>
      <c r="V20" s="25">
        <f>IFERROR(_xlfn.RANK.EQ(WynKl1[[#This Row],[Tsk5]],WynKl1[Tsk5],1),"")</f>
        <v>15</v>
      </c>
      <c r="W20" s="24">
        <v>3.0081018518518517E-2</v>
      </c>
      <c r="X20" s="24">
        <f>IF(WynKl1[[#This Row],[Tr6]]="","",IFERROR(WynKl1[[#This Row],[Tr6]]*3600*(WynKl1[[#This Row],[Vi]]/(SUMIFS(WynKl1[Vi],WynKl1[Tr6],"&gt;00:00:00")/COUNTA(WynKl1[Tr6])))/3600,""))</f>
        <v>3.0550975688224152E-2</v>
      </c>
      <c r="Y20" s="25">
        <f>IFERROR(_xlfn.RANK.EQ(WynKl1[[#This Row],[Tsk6]],WynKl1[Tsk6],1),"")</f>
        <v>9</v>
      </c>
      <c r="Z20" s="24">
        <v>2.9965277777777778E-2</v>
      </c>
      <c r="AA20" s="24">
        <f>IF(WynKl1[[#This Row],[Tr7]]="","",IFERROR(WynKl1[[#This Row],[Tr7]]*3600*(WynKl1[[#This Row],[Vi]]/(SUMIFS(WynKl1[Vi],WynKl1[Tr7],"&gt;00:00:00")/COUNTA(WynKl1[Tr7])))/3600,""))</f>
        <v>3.0433426724437222E-2</v>
      </c>
      <c r="AB20" s="25">
        <f>IFERROR(_xlfn.RANK.EQ(WynKl1[[#This Row],[Tsk7]],WynKl1[Tsk7],1),"")</f>
        <v>15</v>
      </c>
      <c r="AC20" s="24"/>
      <c r="AD20" s="24" t="str">
        <f>IF(WynKl1[[#This Row],[Tr8]]="","",IFERROR(WynKl1[[#This Row],[Tr8]]*3600*(WynKl1[[#This Row],[Vi]]/(SUMIFS(WynKl1[Vi],WynKl1[Tr8],"&gt;00:00:00")/COUNTA(WynKl1[Tr8])))/3600,""))</f>
        <v/>
      </c>
      <c r="AE20" s="25" t="str">
        <f>IFERROR(_xlfn.RANK.EQ(WynKl1[[#This Row],[Tsk8]],WynKl1[Tsk8],1),"")</f>
        <v/>
      </c>
      <c r="AF20" s="24"/>
      <c r="AG20" s="24" t="str">
        <f>IF(WynKl1[[#This Row],[Tr9]]="","",IFERROR(WynKl1[[#This Row],[Tr9]]*3600*(WynKl1[[#This Row],[Vi]]/(SUMIFS(WynKl1[Vi],WynKl1[Tr9],"&gt;00:00:00")/COUNTA(WynKl1[Tr9])))/3600,""))</f>
        <v/>
      </c>
      <c r="AH20" s="25" t="str">
        <f>IFERROR(_xlfn.RANK.EQ(WynKl1[[#This Row],[Tsk9]],WynKl1[Tsk9],1),"")</f>
        <v/>
      </c>
      <c r="AI20" s="25">
        <f t="shared" si="1"/>
        <v>94</v>
      </c>
      <c r="AJ20" s="21">
        <v>14</v>
      </c>
      <c r="AK20" s="25">
        <f ca="1">IFERROR(IF(lista_startowa!$B8=0,"",lista_startowa!$B8),"")</f>
        <v>2</v>
      </c>
    </row>
    <row r="21" spans="2:37" x14ac:dyDescent="0.25">
      <c r="B21" s="73">
        <f t="shared" ca="1" si="0"/>
        <v>15</v>
      </c>
      <c r="C21" s="25" t="str">
        <f>IFERROR(IF(lista_startowa!$C7=0,"",lista_startowa!$C7),"")</f>
        <v>70</v>
      </c>
      <c r="D21" s="22" t="str">
        <f>IFERROR(IF(lista_startowa!$D7=0,"",lista_startowa!$D7),"")</f>
        <v>Arkadiusz Rajchowicz</v>
      </c>
      <c r="E21" s="23" t="str">
        <f>IFERROR(IF(lista_startowa!$E7=0,"",lista_startowa!$E7),"")</f>
        <v/>
      </c>
      <c r="F21" s="22" t="str">
        <f>IFERROR(IF(lista_startowa!$F7=0,"",lista_startowa!$F7),"")</f>
        <v>WUNSZ</v>
      </c>
      <c r="G21" s="22">
        <f>IFERROR(IF(lista_startowa!$G7=0,"",lista_startowa!$G7),"")</f>
        <v>4.62</v>
      </c>
      <c r="H21" s="24">
        <v>3.4131944444444444E-2</v>
      </c>
      <c r="I21" s="24">
        <f>IF(WynKl1[[#This Row],[Tr1]]="","",IFERROR(WynKl1[[#This Row],[Tr1]]*3600*(WynKl1[[#This Row],[Vi]]/(SUMIFS(WynKl1[Vi],WynKl1[Tr1],"&gt;00:00:00")/COUNTA(WynKl1[Tr1])))/3600,""))</f>
        <v>3.3389160098811904E-2</v>
      </c>
      <c r="J21" s="25">
        <f>IFERROR(_xlfn.RANK.EQ(WynKl1[[#This Row],[Tsk1]],WynKl1[Tsk1],1),"")</f>
        <v>11</v>
      </c>
      <c r="K21" s="24">
        <v>5.0972222222222224E-2</v>
      </c>
      <c r="L21" s="24">
        <f>IF(WynKl1[[#This Row],[Tr2]]="","",IFERROR(WynKl1[[#This Row],[Tr2]]*3600*(WynKl1[[#This Row],[Vi]]/(SUMIFS(WynKl1[Vi],WynKl1[Tr2],"&gt;00:00:00")/COUNTA(WynKl1[Tr2])))/3600,""))</f>
        <v>4.9862957299141274E-2</v>
      </c>
      <c r="M21" s="25">
        <f>IFERROR(_xlfn.RANK.EQ(WynKl1[[#This Row],[Tsk2]],WynKl1[Tsk2],1),"")</f>
        <v>16</v>
      </c>
      <c r="N21" s="24">
        <v>8.9780092592592592E-2</v>
      </c>
      <c r="O21" s="24">
        <f>IF(WynKl1[[#This Row],[Tr3]]="","",IFERROR(WynKl1[[#This Row],[Tr3]]*3600*(WynKl1[[#This Row],[Vi]]/(SUMIFS(WynKl1[Vi],WynKl1[Tr3],"&gt;00:00:00")/COUNTA(WynKl1[Tr3])))/3600,""))</f>
        <v>8.7826285142924357E-2</v>
      </c>
      <c r="P21" s="25">
        <f>IFERROR(_xlfn.RANK.EQ(WynKl1[[#This Row],[Tsk3]],WynKl1[Tsk3],1),"")</f>
        <v>15</v>
      </c>
      <c r="Q21" s="24">
        <v>4.3993055555555556E-2</v>
      </c>
      <c r="R21" s="24">
        <f>IF(WynKl1[[#This Row],[Tr4]]="","",IFERROR(WynKl1[[#This Row],[Tr4]]*3600*(WynKl1[[#This Row],[Vi]]/(SUMIFS(WynKl1[Vi],WynKl1[Tr4],"&gt;00:00:00")/COUNTA(WynKl1[Tr4])))/3600,""))</f>
        <v>4.3035672273850134E-2</v>
      </c>
      <c r="S21" s="25">
        <f>IFERROR(_xlfn.RANK.EQ(WynKl1[[#This Row],[Tsk4]],WynKl1[Tsk4],1),"")</f>
        <v>16</v>
      </c>
      <c r="T21" s="24">
        <v>4.2870370370370371E-2</v>
      </c>
      <c r="U21" s="24">
        <f>IF(WynKl1[[#This Row],[Tr5]]="","",IFERROR(WynKl1[[#This Row],[Tr5]]*3600*(WynKl1[[#This Row],[Vi]]/(SUMIFS(WynKl1[Vi],WynKl1[Tr5],"&gt;00:00:00")/COUNTA(WynKl1[Tr5])))/3600,""))</f>
        <v>4.2114307553331946E-2</v>
      </c>
      <c r="V21" s="25">
        <f>IFERROR(_xlfn.RANK.EQ(WynKl1[[#This Row],[Tsk5]],WynKl1[Tsk5],1),"")</f>
        <v>13</v>
      </c>
      <c r="W21" s="24">
        <v>3.1863425925925927E-2</v>
      </c>
      <c r="X21" s="24">
        <f>IF(WynKl1[[#This Row],[Tr6]]="","",IFERROR(WynKl1[[#This Row],[Tr6]]*3600*(WynKl1[[#This Row],[Vi]]/(SUMIFS(WynKl1[Vi],WynKl1[Tr6],"&gt;00:00:00")/COUNTA(WynKl1[Tr6])))/3600,""))</f>
        <v>3.1278008651696318E-2</v>
      </c>
      <c r="Y21" s="25">
        <f>IFERROR(_xlfn.RANK.EQ(WynKl1[[#This Row],[Tsk6]],WynKl1[Tsk6],1),"")</f>
        <v>13</v>
      </c>
      <c r="Z21" s="24">
        <v>2.9270833333333333E-2</v>
      </c>
      <c r="AA21" s="24">
        <f>IF(WynKl1[[#This Row],[Tr7]]="","",IFERROR(WynKl1[[#This Row],[Tr7]]*3600*(WynKl1[[#This Row],[Vi]]/(SUMIFS(WynKl1[Vi],WynKl1[Tr7],"&gt;00:00:00")/COUNTA(WynKl1[Tr7])))/3600,""))</f>
        <v>2.8733048993875767E-2</v>
      </c>
      <c r="AB21" s="25">
        <f>IFERROR(_xlfn.RANK.EQ(WynKl1[[#This Row],[Tsk7]],WynKl1[Tsk7],1),"")</f>
        <v>10</v>
      </c>
      <c r="AC21" s="24"/>
      <c r="AD21" s="24" t="str">
        <f>IF(WynKl1[[#This Row],[Tr8]]="","",IFERROR(WynKl1[[#This Row],[Tr8]]*3600*(WynKl1[[#This Row],[Vi]]/(SUMIFS(WynKl1[Vi],WynKl1[Tr8],"&gt;00:00:00")/COUNTA(WynKl1[Tr8])))/3600,""))</f>
        <v/>
      </c>
      <c r="AE21" s="25" t="str">
        <f>IFERROR(_xlfn.RANK.EQ(WynKl1[[#This Row],[Tsk8]],WynKl1[Tsk8],1),"")</f>
        <v/>
      </c>
      <c r="AF21" s="24"/>
      <c r="AG21" s="24" t="str">
        <f>IF(WynKl1[[#This Row],[Tr9]]="","",IFERROR(WynKl1[[#This Row],[Tr9]]*3600*(WynKl1[[#This Row],[Vi]]/(SUMIFS(WynKl1[Vi],WynKl1[Tr9],"&gt;00:00:00")/COUNTA(WynKl1[Tr9])))/3600,""))</f>
        <v/>
      </c>
      <c r="AH21" s="25" t="str">
        <f>IFERROR(_xlfn.RANK.EQ(WynKl1[[#This Row],[Tsk9]],WynKl1[Tsk9],1),"")</f>
        <v/>
      </c>
      <c r="AI21" s="25">
        <f t="shared" si="1"/>
        <v>94</v>
      </c>
      <c r="AJ21" s="21">
        <v>15</v>
      </c>
      <c r="AK21" s="25">
        <f ca="1">IFERROR(IF(lista_startowa!$B7=0,"",lista_startowa!$B7),"")</f>
        <v>1</v>
      </c>
    </row>
    <row r="22" spans="2:37" x14ac:dyDescent="0.25">
      <c r="B22" s="73">
        <f t="shared" ca="1" si="0"/>
        <v>16</v>
      </c>
      <c r="C22" s="25" t="str">
        <f>IFERROR(IF(lista_startowa!$C24=0,"",lista_startowa!$C24),"")</f>
        <v>20</v>
      </c>
      <c r="D22" s="22" t="str">
        <f>IFERROR(IF(lista_startowa!$D24=0,"",lista_startowa!$D24),"")</f>
        <v>Mirosław Czech</v>
      </c>
      <c r="E22" s="23" t="str">
        <f>IFERROR(IF(lista_startowa!$E24=0,"",lista_startowa!$E24),"")</f>
        <v/>
      </c>
      <c r="F22" s="22" t="str">
        <f>IFERROR(IF(lista_startowa!$F24=0,"",lista_startowa!$F24),"")</f>
        <v>TAŃCZĄCA Z FALAMI</v>
      </c>
      <c r="G22" s="22">
        <f>IFERROR(IF(lista_startowa!$G24=0,"",lista_startowa!$G24),"")</f>
        <v>4.9800000000000004</v>
      </c>
      <c r="H22" s="24">
        <v>3.3449074074074076E-2</v>
      </c>
      <c r="I22" s="24">
        <f>IF(WynKl1[[#This Row],[Tr1]]="","",IFERROR(WynKl1[[#This Row],[Tr1]]*3600*(WynKl1[[#This Row],[Vi]]/(SUMIFS(WynKl1[Vi],WynKl1[Tr1],"&gt;00:00:00")/COUNTA(WynKl1[Tr1])))/3600,""))</f>
        <v>3.5270850488177859E-2</v>
      </c>
      <c r="J22" s="25">
        <f>IFERROR(_xlfn.RANK.EQ(WynKl1[[#This Row],[Tsk1]],WynKl1[Tsk1],1),"")</f>
        <v>17</v>
      </c>
      <c r="K22" s="24">
        <v>4.5787037037037036E-2</v>
      </c>
      <c r="L22" s="24">
        <f>IF(WynKl1[[#This Row],[Tr2]]="","",IFERROR(WynKl1[[#This Row],[Tr2]]*3600*(WynKl1[[#This Row],[Vi]]/(SUMIFS(WynKl1[Vi],WynKl1[Tr2],"&gt;00:00:00")/COUNTA(WynKl1[Tr2])))/3600,""))</f>
        <v>4.8280790495235856E-2</v>
      </c>
      <c r="M22" s="25">
        <f>IFERROR(_xlfn.RANK.EQ(WynKl1[[#This Row],[Tsk2]],WynKl1[Tsk2],1),"")</f>
        <v>14</v>
      </c>
      <c r="N22" s="24">
        <v>8.2581018518518512E-2</v>
      </c>
      <c r="O22" s="24">
        <f>IF(WynKl1[[#This Row],[Tr3]]="","",IFERROR(WynKl1[[#This Row],[Tr3]]*3600*(WynKl1[[#This Row],[Vi]]/(SUMIFS(WynKl1[Vi],WynKl1[Tr3],"&gt;00:00:00")/COUNTA(WynKl1[Tr3])))/3600,""))</f>
        <v>8.7078726032231477E-2</v>
      </c>
      <c r="P22" s="25">
        <f>IFERROR(_xlfn.RANK.EQ(WynKl1[[#This Row],[Tsk3]],WynKl1[Tsk3],1),"")</f>
        <v>14</v>
      </c>
      <c r="Q22" s="24">
        <v>4.5289351851851851E-2</v>
      </c>
      <c r="R22" s="24">
        <f>IF(WynKl1[[#This Row],[Tr4]]="","",IFERROR(WynKl1[[#This Row],[Tr4]]*3600*(WynKl1[[#This Row],[Vi]]/(SUMIFS(WynKl1[Vi],WynKl1[Tr4],"&gt;00:00:00")/COUNTA(WynKl1[Tr4])))/3600,""))</f>
        <v>4.7755999294200678E-2</v>
      </c>
      <c r="S22" s="25">
        <f>IFERROR(_xlfn.RANK.EQ(WynKl1[[#This Row],[Tsk4]],WynKl1[Tsk4],1),"")</f>
        <v>18</v>
      </c>
      <c r="T22" s="24">
        <v>3.8773148148148147E-2</v>
      </c>
      <c r="U22" s="24">
        <f>IF(WynKl1[[#This Row],[Tr5]]="","",IFERROR(WynKl1[[#This Row],[Tr5]]*3600*(WynKl1[[#This Row],[Vi]]/(SUMIFS(WynKl1[Vi],WynKl1[Tr5],"&gt;00:00:00")/COUNTA(WynKl1[Tr5])))/3600,""))</f>
        <v>4.1057344868320488E-2</v>
      </c>
      <c r="V22" s="25">
        <f>IFERROR(_xlfn.RANK.EQ(WynKl1[[#This Row],[Tsk5]],WynKl1[Tsk5],1),"")</f>
        <v>11</v>
      </c>
      <c r="W22" s="24">
        <v>3.0023148148148149E-2</v>
      </c>
      <c r="X22" s="24">
        <f>IF(WynKl1[[#This Row],[Tr6]]="","",IFERROR(WynKl1[[#This Row],[Tr6]]*3600*(WynKl1[[#This Row],[Vi]]/(SUMIFS(WynKl1[Vi],WynKl1[Tr6],"&gt;00:00:00")/COUNTA(WynKl1[Tr6])))/3600,""))</f>
        <v>3.1768025524587205E-2</v>
      </c>
      <c r="Y22" s="25">
        <f>IFERROR(_xlfn.RANK.EQ(WynKl1[[#This Row],[Tsk6]],WynKl1[Tsk6],1),"")</f>
        <v>14</v>
      </c>
      <c r="Z22" s="24">
        <v>3.0763888888888889E-2</v>
      </c>
      <c r="AA22" s="24">
        <f>IF(WynKl1[[#This Row],[Tr7]]="","",IFERROR(WynKl1[[#This Row],[Tr7]]*3600*(WynKl1[[#This Row],[Vi]]/(SUMIFS(WynKl1[Vi],WynKl1[Tr7],"&gt;00:00:00")/COUNTA(WynKl1[Tr7])))/3600,""))</f>
        <v>3.2551816439611712E-2</v>
      </c>
      <c r="AB22" s="25">
        <f>IFERROR(_xlfn.RANK.EQ(WynKl1[[#This Row],[Tsk7]],WynKl1[Tsk7],1),"")</f>
        <v>17</v>
      </c>
      <c r="AC22" s="24"/>
      <c r="AD22" s="24" t="str">
        <f>IF(WynKl1[[#This Row],[Tr8]]="","",IFERROR(WynKl1[[#This Row],[Tr8]]*3600*(WynKl1[[#This Row],[Vi]]/(SUMIFS(WynKl1[Vi],WynKl1[Tr8],"&gt;00:00:00")/COUNTA(WynKl1[Tr8])))/3600,""))</f>
        <v/>
      </c>
      <c r="AE22" s="25" t="str">
        <f>IFERROR(_xlfn.RANK.EQ(WynKl1[[#This Row],[Tsk8]],WynKl1[Tsk8],1),"")</f>
        <v/>
      </c>
      <c r="AF22" s="24"/>
      <c r="AG22" s="24" t="str">
        <f>IF(WynKl1[[#This Row],[Tr9]]="","",IFERROR(WynKl1[[#This Row],[Tr9]]*3600*(WynKl1[[#This Row],[Vi]]/(SUMIFS(WynKl1[Vi],WynKl1[Tr9],"&gt;00:00:00")/COUNTA(WynKl1[Tr9])))/3600,""))</f>
        <v/>
      </c>
      <c r="AH22" s="25" t="str">
        <f>IFERROR(_xlfn.RANK.EQ(WynKl1[[#This Row],[Tsk9]],WynKl1[Tsk9],1),"")</f>
        <v/>
      </c>
      <c r="AI22" s="25">
        <f t="shared" si="1"/>
        <v>105</v>
      </c>
      <c r="AJ22" s="21">
        <v>16</v>
      </c>
      <c r="AK22" s="25">
        <f ca="1">IFERROR(IF(lista_startowa!$B24=0,"",lista_startowa!$B24),"")</f>
        <v>18</v>
      </c>
    </row>
    <row r="23" spans="2:37" x14ac:dyDescent="0.25">
      <c r="B23" s="73">
        <f t="shared" ca="1" si="0"/>
        <v>17</v>
      </c>
      <c r="C23" s="25">
        <f>IFERROR(IF(lista_startowa!$C23=0,"",lista_startowa!$C23),"")</f>
        <v>30</v>
      </c>
      <c r="D23" s="22" t="str">
        <f>IFERROR(IF(lista_startowa!$D23=0,"",lista_startowa!$D23),"")</f>
        <v>Andrzej Brzozowski</v>
      </c>
      <c r="E23" s="23" t="str">
        <f>IFERROR(IF(lista_startowa!$E23=0,"",lista_startowa!$E23),"")</f>
        <v/>
      </c>
      <c r="F23" s="22" t="str">
        <f>IFERROR(IF(lista_startowa!$F23=0,"",lista_startowa!$F23),"")</f>
        <v>LEGENDA GT</v>
      </c>
      <c r="G23" s="22">
        <f>IFERROR(IF(lista_startowa!$G23=0,"",lista_startowa!$G23),"")</f>
        <v>5.0599999999999996</v>
      </c>
      <c r="H23" s="24">
        <v>3.2870370370370369E-2</v>
      </c>
      <c r="I23" s="24">
        <f>IF(WynKl1[[#This Row],[Tr1]]="","",IFERROR(WynKl1[[#This Row],[Tr1]]*3600*(WynKl1[[#This Row],[Vi]]/(SUMIFS(WynKl1[Vi],WynKl1[Tr1],"&gt;00:00:00")/COUNTA(WynKl1[Tr1])))/3600,""))</f>
        <v>3.5217425400933221E-2</v>
      </c>
      <c r="J23" s="25">
        <f>IFERROR(_xlfn.RANK.EQ(WynKl1[[#This Row],[Tsk1]],WynKl1[Tsk1],1),"")</f>
        <v>16</v>
      </c>
      <c r="K23" s="24">
        <v>4.5439814814814815E-2</v>
      </c>
      <c r="L23" s="24">
        <f>IF(WynKl1[[#This Row],[Tr2]]="","",IFERROR(WynKl1[[#This Row],[Tr2]]*3600*(WynKl1[[#This Row],[Vi]]/(SUMIFS(WynKl1[Vi],WynKl1[Tr2],"&gt;00:00:00")/COUNTA(WynKl1[Tr2])))/3600,""))</f>
        <v>4.8684370466219658E-2</v>
      </c>
      <c r="M23" s="25">
        <f>IFERROR(_xlfn.RANK.EQ(WynKl1[[#This Row],[Tsk2]],WynKl1[Tsk2],1),"")</f>
        <v>15</v>
      </c>
      <c r="N23" s="24">
        <v>8.3877314814814821E-2</v>
      </c>
      <c r="O23" s="24">
        <f>IF(WynKl1[[#This Row],[Tr3]]="","",IFERROR(WynKl1[[#This Row],[Tr3]]*3600*(WynKl1[[#This Row],[Vi]]/(SUMIFS(WynKl1[Vi],WynKl1[Tr3],"&gt;00:00:00")/COUNTA(WynKl1[Tr3])))/3600,""))</f>
        <v>8.9866437281888409E-2</v>
      </c>
      <c r="P23" s="25">
        <f>IFERROR(_xlfn.RANK.EQ(WynKl1[[#This Row],[Tsk3]],WynKl1[Tsk3],1),"")</f>
        <v>17</v>
      </c>
      <c r="Q23" s="24">
        <v>3.9849537037037037E-2</v>
      </c>
      <c r="R23" s="24">
        <f>IF(WynKl1[[#This Row],[Tr4]]="","",IFERROR(WynKl1[[#This Row],[Tr4]]*3600*(WynKl1[[#This Row],[Vi]]/(SUMIFS(WynKl1[Vi],WynKl1[Tr4],"&gt;00:00:00")/COUNTA(WynKl1[Tr4])))/3600,""))</f>
        <v>4.2694928047680665E-2</v>
      </c>
      <c r="S23" s="25">
        <f>IFERROR(_xlfn.RANK.EQ(WynKl1[[#This Row],[Tsk4]],WynKl1[Tsk4],1),"")</f>
        <v>15</v>
      </c>
      <c r="T23" s="24"/>
      <c r="U23" s="24" t="str">
        <f>IF(WynKl1[[#This Row],[Tr5]]="","",IFERROR(WynKl1[[#This Row],[Tr5]]*3600*(WynKl1[[#This Row],[Vi]]/(SUMIFS(WynKl1[Vi],WynKl1[Tr5],"&gt;00:00:00")/COUNTA(WynKl1[Tr5])))/3600,""))</f>
        <v/>
      </c>
      <c r="V23" s="25" t="s">
        <v>146</v>
      </c>
      <c r="W23" s="24">
        <v>3.1145833333333334E-2</v>
      </c>
      <c r="X23" s="24">
        <f>IF(WynKl1[[#This Row],[Tr6]]="","",IFERROR(WynKl1[[#This Row],[Tr6]]*3600*(WynKl1[[#This Row],[Vi]]/(SUMIFS(WynKl1[Vi],WynKl1[Tr6],"&gt;00:00:00")/COUNTA(WynKl1[Tr6])))/3600,""))</f>
        <v>3.348537162021413E-2</v>
      </c>
      <c r="Y23" s="25">
        <f>IFERROR(_xlfn.RANK.EQ(WynKl1[[#This Row],[Tsk6]],WynKl1[Tsk6],1),"")</f>
        <v>16</v>
      </c>
      <c r="Z23" s="24">
        <v>2.841435185185185E-2</v>
      </c>
      <c r="AA23" s="24">
        <f>IF(WynKl1[[#This Row],[Tr7]]="","",IFERROR(WynKl1[[#This Row],[Tr7]]*3600*(WynKl1[[#This Row],[Vi]]/(SUMIFS(WynKl1[Vi],WynKl1[Tr7],"&gt;00:00:00")/COUNTA(WynKl1[Tr7])))/3600,""))</f>
        <v>3.0548713239548751E-2</v>
      </c>
      <c r="AB23" s="25">
        <f>IFERROR(_xlfn.RANK.EQ(WynKl1[[#This Row],[Tsk7]],WynKl1[Tsk7],1),"")</f>
        <v>16</v>
      </c>
      <c r="AC23" s="24"/>
      <c r="AD23" s="24" t="str">
        <f>IF(WynKl1[[#This Row],[Tr8]]="","",IFERROR(WynKl1[[#This Row],[Tr8]]*3600*(WynKl1[[#This Row],[Vi]]/(SUMIFS(WynKl1[Vi],WynKl1[Tr8],"&gt;00:00:00")/COUNTA(WynKl1[Tr8])))/3600,""))</f>
        <v/>
      </c>
      <c r="AE23" s="25" t="str">
        <f>IFERROR(_xlfn.RANK.EQ(WynKl1[[#This Row],[Tsk8]],WynKl1[Tsk8],1),"")</f>
        <v/>
      </c>
      <c r="AF23" s="24"/>
      <c r="AG23" s="24" t="str">
        <f>IF(WynKl1[[#This Row],[Tr9]]="","",IFERROR(WynKl1[[#This Row],[Tr9]]*3600*(WynKl1[[#This Row],[Vi]]/(SUMIFS(WynKl1[Vi],WynKl1[Tr9],"&gt;00:00:00")/COUNTA(WynKl1[Tr9])))/3600,""))</f>
        <v/>
      </c>
      <c r="AH23" s="25" t="str">
        <f>IFERROR(_xlfn.RANK.EQ(WynKl1[[#This Row],[Tsk9]],WynKl1[Tsk9],1),"")</f>
        <v/>
      </c>
      <c r="AI23" s="25">
        <f t="shared" si="1"/>
        <v>114</v>
      </c>
      <c r="AJ23" s="21">
        <v>17</v>
      </c>
      <c r="AK23" s="25">
        <f ca="1">IFERROR(IF(lista_startowa!$B22=0,"",lista_startowa!$B22),"")</f>
        <v>16</v>
      </c>
    </row>
    <row r="24" spans="2:37" x14ac:dyDescent="0.25">
      <c r="B24" s="73">
        <f t="shared" ca="1" si="0"/>
        <v>18</v>
      </c>
      <c r="C24" s="25" t="str">
        <f>IFERROR(IF(lista_startowa!$C11=0,"",lista_startowa!$C11),"")</f>
        <v>42</v>
      </c>
      <c r="D24" s="22" t="str">
        <f>IFERROR(IF(lista_startowa!$D11=0,"",lista_startowa!$D11),"")</f>
        <v>Piotr Just</v>
      </c>
      <c r="E24" s="23" t="str">
        <f>IFERROR(IF(lista_startowa!$E11=0,"",lista_startowa!$E11),"")</f>
        <v/>
      </c>
      <c r="F24" s="22" t="str">
        <f>IFERROR(IF(lista_startowa!$F11=0,"",lista_startowa!$F11),"")</f>
        <v>JUSTKA 3</v>
      </c>
      <c r="G24" s="22">
        <f>IFERROR(IF(lista_startowa!$G11=0,"",lista_startowa!$G11),"")</f>
        <v>5</v>
      </c>
      <c r="H24" s="24">
        <v>3.3680555555555554E-2</v>
      </c>
      <c r="I24" s="24">
        <f>IF(WynKl1[[#This Row],[Tr1]]="","",IFERROR(WynKl1[[#This Row],[Tr1]]*3600*(WynKl1[[#This Row],[Vi]]/(SUMIFS(WynKl1[Vi],WynKl1[Tr1],"&gt;00:00:00")/COUNTA(WynKl1[Tr1])))/3600,""))</f>
        <v>3.5657569697682627E-2</v>
      </c>
      <c r="J24" s="25">
        <f>IFERROR(_xlfn.RANK.EQ(WynKl1[[#This Row],[Tsk1]],WynKl1[Tsk1],1),"")</f>
        <v>18</v>
      </c>
      <c r="K24" s="24">
        <v>4.9930555555555554E-2</v>
      </c>
      <c r="L24" s="24">
        <f>IF(WynKl1[[#This Row],[Tr2]]="","",IFERROR(WynKl1[[#This Row],[Tr2]]*3600*(WynKl1[[#This Row],[Vi]]/(SUMIFS(WynKl1[Vi],WynKl1[Tr2],"&gt;00:00:00")/COUNTA(WynKl1[Tr2])))/3600,""))</f>
        <v>5.2861428067286206E-2</v>
      </c>
      <c r="M24" s="25">
        <f>IFERROR(_xlfn.RANK.EQ(WynKl1[[#This Row],[Tsk2]],WynKl1[Tsk2],1),"")</f>
        <v>17</v>
      </c>
      <c r="N24" s="24">
        <v>8.8587962962962966E-2</v>
      </c>
      <c r="O24" s="24">
        <f>IF(WynKl1[[#This Row],[Tr3]]="","",IFERROR(WynKl1[[#This Row],[Tr3]]*3600*(WynKl1[[#This Row],[Vi]]/(SUMIFS(WynKl1[Vi],WynKl1[Tr3],"&gt;00:00:00")/COUNTA(WynKl1[Tr3])))/3600,""))</f>
        <v>9.3787985727169357E-2</v>
      </c>
      <c r="P24" s="25">
        <f>IFERROR(_xlfn.RANK.EQ(WynKl1[[#This Row],[Tsk3]],WynKl1[Tsk3],1),"")</f>
        <v>18</v>
      </c>
      <c r="Q24" s="24">
        <v>4.2870370370370371E-2</v>
      </c>
      <c r="R24" s="24">
        <f>IF(WynKl1[[#This Row],[Tr4]]="","",IFERROR(WynKl1[[#This Row],[Tr4]]*3600*(WynKl1[[#This Row],[Vi]]/(SUMIFS(WynKl1[Vi],WynKl1[Tr4],"&gt;00:00:00")/COUNTA(WynKl1[Tr4])))/3600,""))</f>
        <v>4.5386817237187786E-2</v>
      </c>
      <c r="S24" s="25">
        <f>IFERROR(_xlfn.RANK.EQ(WynKl1[[#This Row],[Tsk4]],WynKl1[Tsk4],1),"")</f>
        <v>17</v>
      </c>
      <c r="T24" s="24">
        <v>4.1342592592592591E-2</v>
      </c>
      <c r="U24" s="24">
        <f>IF(WynKl1[[#This Row],[Tr5]]="","",IFERROR(WynKl1[[#This Row],[Tr5]]*3600*(WynKl1[[#This Row],[Vi]]/(SUMIFS(WynKl1[Vi],WynKl1[Tr5],"&gt;00:00:00")/COUNTA(WynKl1[Tr5])))/3600,""))</f>
        <v>4.3953975864544963E-2</v>
      </c>
      <c r="V24" s="25">
        <f>IFERROR(_xlfn.RANK.EQ(WynKl1[[#This Row],[Tsk5]],WynKl1[Tsk5],1),"")</f>
        <v>17</v>
      </c>
      <c r="W24" s="24"/>
      <c r="X24" s="24" t="str">
        <f>IF(WynKl1[[#This Row],[Tr6]]="","",IFERROR(WynKl1[[#This Row],[Tr6]]*3600*(WynKl1[[#This Row],[Vi]]/(SUMIFS(WynKl1[Vi],WynKl1[Tr6],"&gt;00:00:00")/COUNTA(WynKl1[Tr6])))/3600,""))</f>
        <v/>
      </c>
      <c r="Y24" s="25" t="s">
        <v>145</v>
      </c>
      <c r="Z24" s="24"/>
      <c r="AA24" s="24" t="str">
        <f>IF(WynKl1[[#This Row],[Tr7]]="","",IFERROR(WynKl1[[#This Row],[Tr7]]*3600*(WynKl1[[#This Row],[Vi]]/(SUMIFS(WynKl1[Vi],WynKl1[Tr7],"&gt;00:00:00")/COUNTA(WynKl1[Tr7])))/3600,""))</f>
        <v/>
      </c>
      <c r="AB24" s="25" t="s">
        <v>145</v>
      </c>
      <c r="AC24" s="24"/>
      <c r="AD24" s="24" t="str">
        <f>IF(WynKl1[[#This Row],[Tr8]]="","",IFERROR(WynKl1[[#This Row],[Tr8]]*3600*(WynKl1[[#This Row],[Vi]]/(SUMIFS(WynKl1[Vi],WynKl1[Tr8],"&gt;00:00:00")/COUNTA(WynKl1[Tr8])))/3600,""))</f>
        <v/>
      </c>
      <c r="AE24" s="25" t="str">
        <f>IFERROR(_xlfn.RANK.EQ(WynKl1[[#This Row],[Tsk8]],WynKl1[Tsk8],1),"")</f>
        <v/>
      </c>
      <c r="AF24" s="24"/>
      <c r="AG24" s="24" t="str">
        <f>IF(WynKl1[[#This Row],[Tr9]]="","",IFERROR(WynKl1[[#This Row],[Tr9]]*3600*(WynKl1[[#This Row],[Vi]]/(SUMIFS(WynKl1[Vi],WynKl1[Tr9],"&gt;00:00:00")/COUNTA(WynKl1[Tr9])))/3600,""))</f>
        <v/>
      </c>
      <c r="AH24" s="25" t="str">
        <f>IFERROR(_xlfn.RANK.EQ(WynKl1[[#This Row],[Tsk9]],WynKl1[Tsk9],1),"")</f>
        <v/>
      </c>
      <c r="AI24" s="25">
        <f t="shared" si="1"/>
        <v>125</v>
      </c>
      <c r="AJ24" s="21">
        <v>18</v>
      </c>
      <c r="AK24" s="25">
        <f ca="1">IFERROR(IF(lista_startowa!$B11=0,"",lista_startowa!$B11),"")</f>
        <v>5</v>
      </c>
    </row>
    <row r="26" spans="2:37" x14ac:dyDescent="0.25">
      <c r="B26" s="103" t="str">
        <f>IF(SUM(WynKl1[Vi])=0,"DSQ, OCS, DNF, DNC, DNS, DNE, RET, BFD, UFD, NSC = brak zgłoszonych",_xlfn.CONCAT("DSQ, OCS, DNF, DNC, DNS, DNE, RET, BFD, UFD, NSC = ",E27," pkt."))</f>
        <v>DSQ, OCS, DNF, DNC, DNS, DNE, RET, BFD, UFD, NSC = 19 pkt.</v>
      </c>
      <c r="C26" s="103"/>
      <c r="D26" s="103"/>
      <c r="E26" s="103"/>
      <c r="F26" s="2" t="str">
        <f>lista_startowa!F26</f>
        <v>Sędzia Główny</v>
      </c>
      <c r="H26" s="2"/>
      <c r="I26" s="2"/>
      <c r="J26" s="2"/>
      <c r="K26" s="2"/>
      <c r="L26" s="2"/>
      <c r="V26" s="2"/>
      <c r="W26" s="2"/>
      <c r="X26" s="2"/>
    </row>
    <row r="27" spans="2:37" x14ac:dyDescent="0.25">
      <c r="E27" s="16">
        <f>IF(SUM(WynKl1[Vi])=0,"",COUNT(WynKl1[Vi])+1)</f>
        <v>19</v>
      </c>
      <c r="F27" s="2"/>
      <c r="I27" s="5"/>
    </row>
    <row r="28" spans="2:37" x14ac:dyDescent="0.25">
      <c r="F28" s="2" t="str">
        <f>lista_startowa!F27</f>
        <v>Jarek Bazylko</v>
      </c>
      <c r="H28" s="18"/>
      <c r="I28" s="5"/>
      <c r="J28" s="2"/>
      <c r="K28" s="2"/>
      <c r="L28" s="2"/>
      <c r="V28" s="2"/>
      <c r="W28" s="2"/>
      <c r="X28" s="2"/>
    </row>
    <row r="29" spans="2:37" x14ac:dyDescent="0.25">
      <c r="E29" s="5"/>
    </row>
    <row r="31" spans="2:37" x14ac:dyDescent="0.25">
      <c r="H31" s="17"/>
    </row>
  </sheetData>
  <dataConsolidate link="1"/>
  <mergeCells count="5">
    <mergeCell ref="B26:E26"/>
    <mergeCell ref="B1:AI1"/>
    <mergeCell ref="B3:AI3"/>
    <mergeCell ref="B2:AI2"/>
    <mergeCell ref="H5:AH5"/>
  </mergeCells>
  <phoneticPr fontId="10" type="noConversion"/>
  <printOptions horizontalCentered="1"/>
  <pageMargins left="0.15748031496062992" right="0.15748031496062992" top="0.39370078740157483" bottom="0.35433070866141736" header="0.31496062992125984" footer="0.15748031496062992"/>
  <pageSetup paperSize="9" scale="81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BEE7-8CB3-4C52-B731-B33BD8B3EAC8}">
  <sheetPr>
    <pageSetUpPr fitToPage="1"/>
  </sheetPr>
  <dimension ref="B1:AK18"/>
  <sheetViews>
    <sheetView showGridLines="0" zoomScale="115" zoomScaleNormal="11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defaultRowHeight="15" x14ac:dyDescent="0.25"/>
  <cols>
    <col min="1" max="1" width="3" style="7" customWidth="1"/>
    <col min="2" max="2" width="7" style="2" customWidth="1"/>
    <col min="3" max="3" width="10.28515625" style="2" customWidth="1"/>
    <col min="4" max="4" width="19.28515625" style="7" customWidth="1"/>
    <col min="5" max="5" width="9" style="2" hidden="1" customWidth="1"/>
    <col min="6" max="6" width="20.85546875" style="7" customWidth="1"/>
    <col min="7" max="7" width="5.85546875" style="7" customWidth="1"/>
    <col min="8" max="9" width="5.140625" style="7" bestFit="1" customWidth="1"/>
    <col min="10" max="10" width="6.5703125" style="7" customWidth="1"/>
    <col min="11" max="12" width="5.140625" style="7" bestFit="1" customWidth="1"/>
    <col min="13" max="13" width="6.5703125" style="7" customWidth="1"/>
    <col min="14" max="15" width="5.140625" style="7" bestFit="1" customWidth="1"/>
    <col min="16" max="16" width="4" style="7" bestFit="1" customWidth="1"/>
    <col min="17" max="17" width="5.140625" style="7" bestFit="1" customWidth="1"/>
    <col min="18" max="18" width="4.85546875" style="7" bestFit="1" customWidth="1"/>
    <col min="19" max="19" width="4" style="7" bestFit="1" customWidth="1"/>
    <col min="20" max="20" width="5.140625" style="7" bestFit="1" customWidth="1"/>
    <col min="21" max="21" width="4.85546875" style="7" bestFit="1" customWidth="1"/>
    <col min="22" max="22" width="4" style="7" bestFit="1" customWidth="1"/>
    <col min="23" max="23" width="5.140625" style="7" bestFit="1" customWidth="1"/>
    <col min="24" max="24" width="4.85546875" style="7" bestFit="1" customWidth="1"/>
    <col min="25" max="25" width="4" style="7" bestFit="1" customWidth="1"/>
    <col min="26" max="26" width="5.140625" style="7" bestFit="1" customWidth="1"/>
    <col min="27" max="27" width="4.85546875" style="7" bestFit="1" customWidth="1"/>
    <col min="28" max="28" width="4" style="7" bestFit="1" customWidth="1"/>
    <col min="29" max="29" width="4.7109375" style="7" hidden="1" customWidth="1"/>
    <col min="30" max="30" width="4.85546875" style="7" hidden="1" customWidth="1"/>
    <col min="31" max="31" width="4" style="7" hidden="1" customWidth="1"/>
    <col min="32" max="32" width="3.7109375" style="7" hidden="1" customWidth="1"/>
    <col min="33" max="33" width="4.85546875" style="7" hidden="1" customWidth="1"/>
    <col min="34" max="34" width="4" style="7" hidden="1" customWidth="1"/>
    <col min="35" max="35" width="6" style="7" customWidth="1"/>
    <col min="36" max="16384" width="9.140625" style="7"/>
  </cols>
  <sheetData>
    <row r="1" spans="2:37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13"/>
    </row>
    <row r="2" spans="2:37" ht="17.2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4"/>
    </row>
    <row r="3" spans="2:37" x14ac:dyDescent="0.25">
      <c r="B3" s="102" t="str">
        <f>lista_startowa!B28</f>
        <v>klasa :T  Sport- z żaglami dodatkowymi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2"/>
    </row>
    <row r="4" spans="2:37" x14ac:dyDescent="0.25">
      <c r="B4" s="2" t="e">
        <f ca="1">_xlfn.CONCAT("data: ",TEXT(NOW(),"rrrr-mm-dd ""godz. ""gg:mm"))</f>
        <v>#NAME?</v>
      </c>
      <c r="C4" s="72"/>
      <c r="D4" s="28"/>
      <c r="E4" s="2" t="str">
        <f>T1T2T3!E4</f>
        <v>wyniki nieoficjalne</v>
      </c>
      <c r="H4" s="15"/>
    </row>
    <row r="5" spans="2:37" x14ac:dyDescent="0.25">
      <c r="H5" s="105" t="s">
        <v>11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7"/>
    </row>
    <row r="6" spans="2:37" ht="30" x14ac:dyDescent="0.25">
      <c r="B6" s="19" t="s">
        <v>10</v>
      </c>
      <c r="C6" s="96" t="s">
        <v>24</v>
      </c>
      <c r="D6" s="19" t="s">
        <v>0</v>
      </c>
      <c r="E6" s="19" t="s">
        <v>1</v>
      </c>
      <c r="F6" s="19" t="s">
        <v>116</v>
      </c>
      <c r="G6" s="19" t="s">
        <v>29</v>
      </c>
      <c r="H6" s="26" t="s">
        <v>39</v>
      </c>
      <c r="I6" s="19" t="s">
        <v>40</v>
      </c>
      <c r="J6" s="38" t="s">
        <v>30</v>
      </c>
      <c r="K6" s="26" t="s">
        <v>41</v>
      </c>
      <c r="L6" s="19" t="s">
        <v>49</v>
      </c>
      <c r="M6" s="38" t="s">
        <v>31</v>
      </c>
      <c r="N6" s="26" t="s">
        <v>42</v>
      </c>
      <c r="O6" s="19" t="s">
        <v>50</v>
      </c>
      <c r="P6" s="38" t="s">
        <v>32</v>
      </c>
      <c r="Q6" s="26" t="s">
        <v>43</v>
      </c>
      <c r="R6" s="19" t="s">
        <v>51</v>
      </c>
      <c r="S6" s="38" t="s">
        <v>33</v>
      </c>
      <c r="T6" s="26" t="s">
        <v>44</v>
      </c>
      <c r="U6" s="19" t="s">
        <v>52</v>
      </c>
      <c r="V6" s="38" t="s">
        <v>34</v>
      </c>
      <c r="W6" s="26" t="s">
        <v>45</v>
      </c>
      <c r="X6" s="19" t="s">
        <v>53</v>
      </c>
      <c r="Y6" s="38" t="s">
        <v>35</v>
      </c>
      <c r="Z6" s="26" t="s">
        <v>46</v>
      </c>
      <c r="AA6" s="19" t="s">
        <v>54</v>
      </c>
      <c r="AB6" s="38" t="s">
        <v>36</v>
      </c>
      <c r="AC6" s="26" t="s">
        <v>47</v>
      </c>
      <c r="AD6" s="19" t="s">
        <v>55</v>
      </c>
      <c r="AE6" s="38" t="s">
        <v>37</v>
      </c>
      <c r="AF6" s="26" t="s">
        <v>48</v>
      </c>
      <c r="AG6" s="19" t="s">
        <v>56</v>
      </c>
      <c r="AH6" s="38" t="s">
        <v>38</v>
      </c>
      <c r="AI6" s="20" t="s">
        <v>9</v>
      </c>
      <c r="AJ6" s="20" t="s">
        <v>18</v>
      </c>
      <c r="AK6" s="37" t="s">
        <v>19</v>
      </c>
    </row>
    <row r="7" spans="2:37" x14ac:dyDescent="0.25">
      <c r="B7" s="73">
        <f ca="1">IFERROR(VALUE(OFFSET(B7,-1,0)),0)+1</f>
        <v>1</v>
      </c>
      <c r="C7" s="25" t="str">
        <f>IFERROR(IF(lista_startowa!$C30=0,"",lista_startowa!$C30),"")</f>
        <v>41</v>
      </c>
      <c r="D7" s="22" t="str">
        <f>IFERROR(IF(lista_startowa!$D30=0,"",lista_startowa!$D30),"")</f>
        <v>Jakub Malicki</v>
      </c>
      <c r="E7" s="25" t="str">
        <f>IFERROR(IF(lista_startowa!$E30=0,"",lista_startowa!$E30),"")</f>
        <v>Pol 133</v>
      </c>
      <c r="F7" s="22" t="str">
        <f>IFERROR(IF(lista_startowa!$F30=0,"",lista_startowa!$F30),"")</f>
        <v>DUŻE DRZEWO</v>
      </c>
      <c r="G7" s="22">
        <f>IFERROR(IF(lista_startowa!$G30=0,"",lista_startowa!$G30),"")</f>
        <v>6.57</v>
      </c>
      <c r="H7" s="24">
        <v>2.8356481481481483E-2</v>
      </c>
      <c r="I7" s="24">
        <f>IF(WynKl2[[#This Row],[Tr1]]="","",IFERROR(WynKl2[[#This Row],[Tr1]]*3600*(WynKl2[[#This Row],[Vi]]/(SUMIFS(WynKl2[Vi],WynKl2[Tr1],"&gt;00:00:00")/COUNTA(WynKl2[Tr1])))/3600,""))</f>
        <v>2.8857200020652621E-2</v>
      </c>
      <c r="J7" s="25">
        <f>IFERROR(_xlfn.RANK.EQ(WynKl2[[#This Row],[Tsk1]],WynKl2[Tsk1],1),"")</f>
        <v>1</v>
      </c>
      <c r="K7" s="95">
        <v>4.0219907407407406E-2</v>
      </c>
      <c r="L7" s="24">
        <f>IF(WynKl2[[#This Row],[Tr1]]="","",IFERROR(WynKl2[[#This Row],[Tr1]]*3600*(WynKl2[[#This Row],[Vi]]/(SUMIFS(WynKl2[Vi],WynKl2[Tr1],"&gt;00:00:00")/COUNTA(WynKl2[Tr1])))/3600,""))</f>
        <v>2.8857200020652621E-2</v>
      </c>
      <c r="M7" s="25">
        <f>IFERROR(_xlfn.RANK.EQ(WynKl2[[#This Row],[Tsk2]],WynKl2[Tsk2],1),"")</f>
        <v>1</v>
      </c>
      <c r="N7" s="24">
        <v>6.9594907407407411E-2</v>
      </c>
      <c r="O7" s="24">
        <f>IF(WynKl2[[#This Row],[Tr3]]="","",IFERROR(WynKl2[[#This Row],[Tr3]]*3600*(WynKl2[[#This Row],[Vi]]/(SUMIFS(WynKl2[Vi],WynKl2[Tr3],"&gt;00:00:00")/COUNTA(WynKl2[Tr3])))/3600,""))</f>
        <v>7.0823813764973154E-2</v>
      </c>
      <c r="P7" s="25">
        <f>IFERROR(_xlfn.RANK.EQ(WynKl2[[#This Row],[Tsk3]],WynKl2[Tsk3],1),"")</f>
        <v>2</v>
      </c>
      <c r="Q7" s="24">
        <v>3.5405092592592592E-2</v>
      </c>
      <c r="R7" s="24">
        <f>IF(WynKl2[[#This Row],[Tr4]]="","",IFERROR(WynKl2[[#This Row],[Tr4]]*3600*(WynKl2[[#This Row],[Vi]]/(SUMIFS(WynKl2[Vi],WynKl2[Tr4],"&gt;00:00:00")/COUNTA(WynKl2[Tr4])))/3600,""))</f>
        <v>3.6030275454357705E-2</v>
      </c>
      <c r="S7" s="25">
        <f>IFERROR(_xlfn.RANK.EQ(WynKl2[[#This Row],[Tsk4]],WynKl2[Tsk4],1),"")</f>
        <v>2</v>
      </c>
      <c r="T7" s="24">
        <v>3.4490740740740738E-2</v>
      </c>
      <c r="U7" s="24">
        <f>IF(WynKl2[[#This Row],[Tr5]]="","",IFERROR(WynKl2[[#This Row],[Tr5]]*3600*(WynKl2[[#This Row],[Vi]]/(SUMIFS(WynKl2[Vi],WynKl2[Tr5],"&gt;00:00:00")/COUNTA(WynKl2[Tr5])))/3600,""))</f>
        <v>3.5099777984304005E-2</v>
      </c>
      <c r="V7" s="25">
        <f>IFERROR(_xlfn.RANK.EQ(WynKl2[[#This Row],[Tsk5]],WynKl2[Tsk5],1),"")</f>
        <v>1</v>
      </c>
      <c r="W7" s="24">
        <v>2.4548611111111111E-2</v>
      </c>
      <c r="X7" s="24">
        <f>IF(WynKl2[[#This Row],[Tr6]]="","",IFERROR(WynKl2[[#This Row],[Tr6]]*3600*(WynKl2[[#This Row],[Vi]]/(SUMIFS(WynKl2[Vi],WynKl2[Tr6],"&gt;00:00:00")/COUNTA(WynKl2[Tr6])))/3600,""))</f>
        <v>3.1196204061895549E-2</v>
      </c>
      <c r="Y7" s="25">
        <f>IFERROR(_xlfn.RANK.EQ(WynKl2[[#This Row],[Tsk6]],WynKl2[Tsk6],1),"")</f>
        <v>2</v>
      </c>
      <c r="Z7" s="24">
        <v>2.361111111111111E-2</v>
      </c>
      <c r="AA7" s="24">
        <f>IF(WynKl2[[#This Row],[Tr7]]="","",IFERROR(WynKl2[[#This Row],[Tr7]]*3600*(WynKl2[[#This Row],[Vi]]/(SUMIFS(WynKl2[Vi],WynKl2[Tr7],"&gt;00:00:00")/COUNTA(WynKl2[Tr7])))/3600,""))</f>
        <v>2.4028035935563817E-2</v>
      </c>
      <c r="AB7" s="25">
        <f>IFERROR(_xlfn.RANK.EQ(WynKl2[[#This Row],[Tsk7]],WynKl2[Tsk7],1),"")</f>
        <v>1</v>
      </c>
      <c r="AC7" s="24"/>
      <c r="AD7" s="24" t="str">
        <f>IF(WynKl2[[#This Row],[Tr8]]="","",IFERROR(WynKl2[[#This Row],[Tr8]]*3600*(WynKl2[[#This Row],[Vi]]/(SUMIFS(WynKl2[Vi],WynKl2[Tr8],"&gt;00:00:00")/COUNTA(WynKl2[Tr8])))/3600,""))</f>
        <v/>
      </c>
      <c r="AE7" s="25" t="str">
        <f>IFERROR(_xlfn.RANK.EQ(WynKl2[[#This Row],[Tsk8]],WynKl2[Tsk8],1),"")</f>
        <v/>
      </c>
      <c r="AF7" s="24"/>
      <c r="AG7" s="24" t="str">
        <f>IF(WynKl2[[#This Row],[Tr9]]="","",IFERROR(WynKl2[[#This Row],[Tr9]]*3600*(WynKl2[[#This Row],[Vi]]/(SUMIFS(WynKl2[Vi],WynKl2[Tr9],"&gt;00:00:00")/COUNTA(WynKl2[Tr9])))/3600,""))</f>
        <v/>
      </c>
      <c r="AH7" s="25" t="str">
        <f>IFERROR(_xlfn.RANK.EQ(WynKl2[[#This Row],[Tsk9]],WynKl2[Tsk9],1),"")</f>
        <v/>
      </c>
      <c r="AI7" s="25">
        <f>IF(J7="","",IF(ISBLANK(J7),"",SUM(J7,M7,P7,S7,V7,Y7,AB7,AE7,AH7)+SUM(COUNTIF(J7:AH7,"DSQ"),COUNTIF(J7:AH7,"OCS"),COUNTIF(J7:AH7,"DNF"),COUNTIF(J7:AH7,"DNC"),COUNTIF(J7:AH7,"DNE"),COUNTIF(J7:AH7,"RET"),COUNTIF(J7:AH7,"BFD"),COUNTIF(J7:AH7,"UFD"),COUNTIF(J7:AH7,"NSC"),COUNTIF(J7:AH7,"DNS"))*$E$14))</f>
        <v>10</v>
      </c>
      <c r="AJ7" s="21">
        <v>1</v>
      </c>
      <c r="AK7" s="25">
        <f ca="1">IFERROR(IF(lista_startowa!$B7=0,"",lista_startowa!$B7),"")</f>
        <v>1</v>
      </c>
    </row>
    <row r="8" spans="2:37" x14ac:dyDescent="0.25">
      <c r="B8" s="73">
        <f ca="1">IFERROR(VALUE(OFFSET(B8,-1,0)),0)+1</f>
        <v>2</v>
      </c>
      <c r="C8" s="25" t="str">
        <f>IFERROR(IF(lista_startowa!$C31=0,"",lista_startowa!$C31),"")</f>
        <v>37</v>
      </c>
      <c r="D8" s="22" t="str">
        <f>IFERROR(IF(lista_startowa!$D31=0,"",lista_startowa!$D31),"")</f>
        <v>Roman Czajkowski</v>
      </c>
      <c r="E8" s="25" t="str">
        <f>IFERROR(IF(lista_startowa!$E31=0,"",lista_startowa!$E31),"")</f>
        <v>POL 202</v>
      </c>
      <c r="F8" s="22" t="str">
        <f>IFERROR(IF(lista_startowa!$F31=0,"",lista_startowa!$F31),"")</f>
        <v>SPEEDY</v>
      </c>
      <c r="G8" s="22">
        <f>IFERROR(IF(lista_startowa!$G31=0,"",lista_startowa!$G31),"")</f>
        <v>6.6</v>
      </c>
      <c r="H8" s="24">
        <v>3.3472222222222223E-2</v>
      </c>
      <c r="I8" s="24">
        <f>IF(WynKl2[[#This Row],[Tr1]]="","",IFERROR(WynKl2[[#This Row],[Tr1]]*3600*(WynKl2[[#This Row],[Vi]]/(SUMIFS(WynKl2[Vi],WynKl2[Tr1],"&gt;00:00:00")/COUNTA(WynKl2[Tr1])))/3600,""))</f>
        <v>3.4218814539446508E-2</v>
      </c>
      <c r="J8" s="25">
        <f>IFERROR(_xlfn.RANK.EQ(WynKl2[[#This Row],[Tsk1]],WynKl2[Tsk1],1),"")</f>
        <v>4</v>
      </c>
      <c r="K8" s="95">
        <v>4.1886574074074076E-2</v>
      </c>
      <c r="L8" s="24">
        <f>IF(WynKl2[[#This Row],[Tr1]]="","",IFERROR(WynKl2[[#This Row],[Tr1]]*3600*(WynKl2[[#This Row],[Vi]]/(SUMIFS(WynKl2[Vi],WynKl2[Tr1],"&gt;00:00:00")/COUNTA(WynKl2[Tr1])))/3600,""))</f>
        <v>3.4218814539446508E-2</v>
      </c>
      <c r="M8" s="25">
        <f>IFERROR(_xlfn.RANK.EQ(WynKl2[[#This Row],[Tsk2]],WynKl2[Tsk2],1),"")</f>
        <v>4</v>
      </c>
      <c r="N8" s="24">
        <v>6.850694444444444E-2</v>
      </c>
      <c r="O8" s="24">
        <f>IF(WynKl2[[#This Row],[Tr3]]="","",IFERROR(WynKl2[[#This Row],[Tr3]]*3600*(WynKl2[[#This Row],[Vi]]/(SUMIFS(WynKl2[Vi],WynKl2[Tr3],"&gt;00:00:00")/COUNTA(WynKl2[Tr3])))/3600,""))</f>
        <v>7.0034980380008244E-2</v>
      </c>
      <c r="P8" s="25">
        <f>IFERROR(_xlfn.RANK.EQ(WynKl2[[#This Row],[Tsk3]],WynKl2[Tsk3],1),"")</f>
        <v>1</v>
      </c>
      <c r="Q8" s="24">
        <v>3.6527777777777777E-2</v>
      </c>
      <c r="R8" s="24">
        <f>IF(WynKl2[[#This Row],[Tr4]]="","",IFERROR(WynKl2[[#This Row],[Tr4]]*3600*(WynKl2[[#This Row],[Vi]]/(SUMIFS(WynKl2[Vi],WynKl2[Tr4],"&gt;00:00:00")/COUNTA(WynKl2[Tr4])))/3600,""))</f>
        <v>3.7342523750516311E-2</v>
      </c>
      <c r="S8" s="25">
        <f>IFERROR(_xlfn.RANK.EQ(WynKl2[[#This Row],[Tsk4]],WynKl2[Tsk4],1),"")</f>
        <v>3</v>
      </c>
      <c r="T8" s="24">
        <v>3.8101851851851852E-2</v>
      </c>
      <c r="U8" s="24">
        <f>IF(WynKl2[[#This Row],[Tr5]]="","",IFERROR(WynKl2[[#This Row],[Tr5]]*3600*(WynKl2[[#This Row],[Vi]]/(SUMIFS(WynKl2[Vi],WynKl2[Tr5],"&gt;00:00:00")/COUNTA(WynKl2[Tr5])))/3600,""))</f>
        <v>3.8951707283491656E-2</v>
      </c>
      <c r="V8" s="25">
        <f>IFERROR(_xlfn.RANK.EQ(WynKl2[[#This Row],[Tsk5]],WynKl2[Tsk5],1),"")</f>
        <v>4</v>
      </c>
      <c r="W8" s="24">
        <v>2.4363425925925927E-2</v>
      </c>
      <c r="X8" s="24">
        <f>IF(WynKl2[[#This Row],[Tr6]]="","",IFERROR(WynKl2[[#This Row],[Tr6]]*3600*(WynKl2[[#This Row],[Vi]]/(SUMIFS(WynKl2[Vi],WynKl2[Tr6],"&gt;00:00:00")/COUNTA(WynKl2[Tr6])))/3600,""))</f>
        <v>3.1102245862884161E-2</v>
      </c>
      <c r="Y8" s="25">
        <f>IFERROR(_xlfn.RANK.EQ(WynKl2[[#This Row],[Tsk6]],WynKl2[Tsk6],1),"")</f>
        <v>1</v>
      </c>
      <c r="Z8" s="24">
        <v>2.4652777777777777E-2</v>
      </c>
      <c r="AA8" s="24">
        <f>IF(WynKl2[[#This Row],[Tr7]]="","",IFERROR(WynKl2[[#This Row],[Tr7]]*3600*(WynKl2[[#This Row],[Vi]]/(SUMIFS(WynKl2[Vi],WynKl2[Tr7],"&gt;00:00:00")/COUNTA(WynKl2[Tr7])))/3600,""))</f>
        <v>2.5202653862040476E-2</v>
      </c>
      <c r="AB8" s="25">
        <f>IFERROR(_xlfn.RANK.EQ(WynKl2[[#This Row],[Tsk7]],WynKl2[Tsk7],1),"")</f>
        <v>3</v>
      </c>
      <c r="AC8" s="24"/>
      <c r="AD8" s="24" t="str">
        <f>IF(WynKl2[[#This Row],[Tr8]]="","",IFERROR(WynKl2[[#This Row],[Tr8]]*3600*(WynKl2[[#This Row],[Vi]]/(SUMIFS(WynKl2[Vi],WynKl2[Tr8],"&gt;00:00:00")/COUNTA(WynKl2[Tr8])))/3600,""))</f>
        <v/>
      </c>
      <c r="AE8" s="25" t="str">
        <f>IFERROR(_xlfn.RANK.EQ(WynKl2[[#This Row],[Tsk8]],WynKl2[Tsk8],1),"")</f>
        <v/>
      </c>
      <c r="AF8" s="24"/>
      <c r="AG8" s="24" t="str">
        <f>IF(WynKl2[[#This Row],[Tr9]]="","",IFERROR(WynKl2[[#This Row],[Tr9]]*3600*(WynKl2[[#This Row],[Vi]]/(SUMIFS(WynKl2[Vi],WynKl2[Tr9],"&gt;00:00:00")/COUNTA(WynKl2[Tr9])))/3600,""))</f>
        <v/>
      </c>
      <c r="AH8" s="25" t="str">
        <f>IFERROR(_xlfn.RANK.EQ(WynKl2[[#This Row],[Tsk9]],WynKl2[Tsk9],1),"")</f>
        <v/>
      </c>
      <c r="AI8" s="25">
        <f>IF(J8="","",IF(ISBLANK(J8),"",SUM(J8,M8,P8,S8,V8,Y8,AB8,AE8,AH8)+SUM(COUNTIF(J8:AH8,"DSQ"),COUNTIF(J8:AH8,"OCS"),COUNTIF(J8:AH8,"DNF"),COUNTIF(J8:AH8,"DNC"),COUNTIF(J8:AH8,"DNE"),COUNTIF(J8:AH8,"RET"),COUNTIF(J8:AH8,"BFD"),COUNTIF(J8:AH8,"UFD"),COUNTIF(J8:AH8,"NSC"),COUNTIF(J8:AH8,"DNS"))*$E$14))</f>
        <v>20</v>
      </c>
      <c r="AJ8" s="21">
        <v>2</v>
      </c>
      <c r="AK8" s="25">
        <f ca="1">IFERROR(IF(lista_startowa!$B8=0,"",lista_startowa!$B8),"")</f>
        <v>2</v>
      </c>
    </row>
    <row r="9" spans="2:37" x14ac:dyDescent="0.25">
      <c r="B9" s="73">
        <f ca="1">IFERROR(VALUE(OFFSET(B9,-1,0)),0)+1</f>
        <v>3</v>
      </c>
      <c r="C9" s="25" t="str">
        <f>IFERROR(IF(lista_startowa!$C33=0,"",lista_startowa!$C33),"")</f>
        <v>19</v>
      </c>
      <c r="D9" s="22" t="str">
        <f>IFERROR(IF(lista_startowa!$D33=0,"",lista_startowa!$D33),"")</f>
        <v>Radosław Cierpiał</v>
      </c>
      <c r="E9" s="25" t="str">
        <f>IFERROR(IF(lista_startowa!$E33=0,"",lista_startowa!$E33),"")</f>
        <v/>
      </c>
      <c r="F9" s="22" t="str">
        <f>IFERROR(IF(lista_startowa!$F33=0,"",lista_startowa!$F33),"")</f>
        <v>KLEIB</v>
      </c>
      <c r="G9" s="22">
        <v>6.08</v>
      </c>
      <c r="H9" s="24">
        <v>3.4305555555555554E-2</v>
      </c>
      <c r="I9" s="24">
        <f>IF(WynKl2[[#This Row],[Tr1]]="","",IFERROR(WynKl2[[#This Row],[Tr1]]*3600*(WynKl2[[#This Row],[Vi]]/(SUMIFS(WynKl2[Vi],WynKl2[Tr1],"&gt;00:00:00")/COUNTA(WynKl2[Tr1])))/3600,""))</f>
        <v>3.2307586396805726E-2</v>
      </c>
      <c r="J9" s="25">
        <f>IFERROR(_xlfn.RANK.EQ(WynKl2[[#This Row],[Tsk1]],WynKl2[Tsk1],1),"")</f>
        <v>3</v>
      </c>
      <c r="K9" s="95">
        <v>4.4618055555555557E-2</v>
      </c>
      <c r="L9" s="24">
        <f>IF(WynKl2[[#This Row],[Tr1]]="","",IFERROR(WynKl2[[#This Row],[Tr1]]*3600*(WynKl2[[#This Row],[Vi]]/(SUMIFS(WynKl2[Vi],WynKl2[Tr1],"&gt;00:00:00")/COUNTA(WynKl2[Tr1])))/3600,""))</f>
        <v>3.2307586396805726E-2</v>
      </c>
      <c r="M9" s="25">
        <f>IFERROR(_xlfn.RANK.EQ(WynKl2[[#This Row],[Tsk2]],WynKl2[Tsk2],1),"")</f>
        <v>3</v>
      </c>
      <c r="N9" s="24">
        <v>8.2500000000000004E-2</v>
      </c>
      <c r="O9" s="24">
        <f>IF(WynKl2[[#This Row],[Tr3]]="","",IFERROR(WynKl2[[#This Row],[Tr3]]*3600*(WynKl2[[#This Row],[Vi]]/(SUMIFS(WynKl2[Vi],WynKl2[Tr3],"&gt;00:00:00")/COUNTA(WynKl2[Tr3])))/3600,""))</f>
        <v>7.7695167286245342E-2</v>
      </c>
      <c r="P9" s="25">
        <f>IFERROR(_xlfn.RANK.EQ(WynKl2[[#This Row],[Tsk3]],WynKl2[Tsk3],1),"")</f>
        <v>4</v>
      </c>
      <c r="Q9" s="24">
        <v>3.7638888888888888E-2</v>
      </c>
      <c r="R9" s="24">
        <f>IF(WynKl2[[#This Row],[Tr4]]="","",IFERROR(WynKl2[[#This Row],[Tr4]]*3600*(WynKl2[[#This Row],[Vi]]/(SUMIFS(WynKl2[Vi],WynKl2[Tr4],"&gt;00:00:00")/COUNTA(WynKl2[Tr4])))/3600,""))</f>
        <v>3.5446785075037859E-2</v>
      </c>
      <c r="S9" s="25">
        <f>IFERROR(_xlfn.RANK.EQ(WynKl2[[#This Row],[Tsk4]],WynKl2[Tsk4],1),"")</f>
        <v>1</v>
      </c>
      <c r="T9" s="24">
        <v>3.7291666666666667E-2</v>
      </c>
      <c r="U9" s="24">
        <f>IF(WynKl2[[#This Row],[Tr5]]="","",IFERROR(WynKl2[[#This Row],[Tr5]]*3600*(WynKl2[[#This Row],[Vi]]/(SUMIFS(WynKl2[Vi],WynKl2[Tr5],"&gt;00:00:00")/COUNTA(WynKl2[Tr5])))/3600,""))</f>
        <v>3.5119785212722014E-2</v>
      </c>
      <c r="V9" s="25">
        <f>IFERROR(_xlfn.RANK.EQ(WynKl2[[#This Row],[Tsk5]],WynKl2[Tsk5],1),"")</f>
        <v>2</v>
      </c>
      <c r="W9" s="24">
        <v>2.8472222222222222E-2</v>
      </c>
      <c r="X9" s="24">
        <f>IF(WynKl2[[#This Row],[Tr6]]="","",IFERROR(WynKl2[[#This Row],[Tr6]]*3600*(WynKl2[[#This Row],[Vi]]/(SUMIFS(WynKl2[Vi],WynKl2[Tr6],"&gt;00:00:00")/COUNTA(WynKl2[Tr6])))/3600,""))</f>
        <v>3.3483773909305826E-2</v>
      </c>
      <c r="Y9" s="25">
        <f>IFERROR(_xlfn.RANK.EQ(WynKl2[[#This Row],[Tsk6]],WynKl2[Tsk6],1),"")</f>
        <v>4</v>
      </c>
      <c r="Z9" s="24">
        <v>2.9780092592592594E-2</v>
      </c>
      <c r="AA9" s="24">
        <f>IF(WynKl2[[#This Row],[Tr7]]="","",IFERROR(WynKl2[[#This Row],[Tr7]]*3600*(WynKl2[[#This Row],[Vi]]/(SUMIFS(WynKl2[Vi],WynKl2[Tr7],"&gt;00:00:00")/COUNTA(WynKl2[Tr7])))/3600,""))</f>
        <v>2.8045688191289185E-2</v>
      </c>
      <c r="AB9" s="25">
        <f>IFERROR(_xlfn.RANK.EQ(WynKl2[[#This Row],[Tsk7]],WynKl2[Tsk7],1),"")</f>
        <v>4</v>
      </c>
      <c r="AC9" s="24"/>
      <c r="AD9" s="24" t="str">
        <f>IF(WynKl2[[#This Row],[Tr8]]="","",IFERROR(WynKl2[[#This Row],[Tr8]]*3600*(WynKl2[[#This Row],[Vi]]/(SUMIFS(WynKl2[Vi],WynKl2[Tr8],"&gt;00:00:00")/COUNTA(WynKl2[Tr8])))/3600,""))</f>
        <v/>
      </c>
      <c r="AE9" s="25" t="str">
        <f>IFERROR(_xlfn.RANK.EQ(WynKl2[[#This Row],[Tsk8]],WynKl2[Tsk8],1),"")</f>
        <v/>
      </c>
      <c r="AF9" s="24"/>
      <c r="AG9" s="24" t="str">
        <f>IF(WynKl2[[#This Row],[Tr9]]="","",IFERROR(WynKl2[[#This Row],[Tr9]]*3600*(WynKl2[[#This Row],[Vi]]/(SUMIFS(WynKl2[Vi],WynKl2[Tr9],"&gt;00:00:00")/COUNTA(WynKl2[Tr9])))/3600,""))</f>
        <v/>
      </c>
      <c r="AH9" s="25" t="str">
        <f>IFERROR(_xlfn.RANK.EQ(WynKl2[[#This Row],[Tsk9]],WynKl2[Tsk9],1),"")</f>
        <v/>
      </c>
      <c r="AI9" s="25">
        <f>IF(J9="","",IF(ISBLANK(J9),"",SUM(J9,M9,P9,S9,V9,Y9,AB9,AE9,AH9)+SUM(COUNTIF(J9:AH9,"DSQ"),COUNTIF(J9:AH9,"OCS"),COUNTIF(J9:AH9,"DNF"),COUNTIF(J9:AH9,"DNC"),COUNTIF(J9:AH9,"DNE"),COUNTIF(J9:AH9,"RET"),COUNTIF(J9:AH9,"BFD"),COUNTIF(J9:AH9,"UFD"),COUNTIF(J9:AH9,"NSC"),COUNTIF(J9:AH9,"DNS"))*$E$14))</f>
        <v>21</v>
      </c>
      <c r="AJ9" s="21">
        <v>3</v>
      </c>
      <c r="AK9" s="25">
        <f ca="1">IFERROR(IF(lista_startowa!$B10=0,"",lista_startowa!$B10),"")</f>
        <v>4</v>
      </c>
    </row>
    <row r="10" spans="2:37" x14ac:dyDescent="0.25">
      <c r="B10" s="73">
        <f ca="1">IFERROR(VALUE(OFFSET(B10,-1,0)),0)+1</f>
        <v>4</v>
      </c>
      <c r="C10" s="25" t="str">
        <f>IFERROR(IF(lista_startowa!$C32=0,"",lista_startowa!$C32),"")</f>
        <v>39</v>
      </c>
      <c r="D10" s="22" t="str">
        <f>IFERROR(IF(lista_startowa!$D32=0,"",lista_startowa!$D32),"")</f>
        <v>Kamil Jakowanis</v>
      </c>
      <c r="E10" s="25" t="str">
        <f>IFERROR(IF(lista_startowa!$E32=0,"",lista_startowa!$E32),"")</f>
        <v>POL 200</v>
      </c>
      <c r="F10" s="22" t="str">
        <f>IFERROR(IF(lista_startowa!$F32=0,"",lista_startowa!$F32),"")</f>
        <v>DREWNOBUDOWA</v>
      </c>
      <c r="G10" s="22">
        <f>IFERROR(IF(lista_startowa!$G32=0,"",lista_startowa!$G32),"")</f>
        <v>6.6</v>
      </c>
      <c r="H10" s="24">
        <v>2.9409722222222223E-2</v>
      </c>
      <c r="I10" s="24">
        <f>IF(WynKl2[[#This Row],[Tr1]]="","",IFERROR(WynKl2[[#This Row],[Tr1]]*3600*(WynKl2[[#This Row],[Vi]]/(SUMIFS(WynKl2[Vi],WynKl2[Tr1],"&gt;00:00:00")/COUNTA(WynKl2[Tr1])))/3600,""))</f>
        <v>3.0065701156546876E-2</v>
      </c>
      <c r="J10" s="25">
        <f>IFERROR(_xlfn.RANK.EQ(WynKl2[[#This Row],[Tsk1]],WynKl2[Tsk1],1),"")</f>
        <v>2</v>
      </c>
      <c r="K10" s="95">
        <v>4.0937500000000002E-2</v>
      </c>
      <c r="L10" s="24">
        <f>IF(WynKl2[[#This Row],[Tr1]]="","",IFERROR(WynKl2[[#This Row],[Tr1]]*3600*(WynKl2[[#This Row],[Vi]]/(SUMIFS(WynKl2[Vi],WynKl2[Tr1],"&gt;00:00:00")/COUNTA(WynKl2[Tr1])))/3600,""))</f>
        <v>3.0065701156546876E-2</v>
      </c>
      <c r="M10" s="25">
        <f>IFERROR(_xlfn.RANK.EQ(WynKl2[[#This Row],[Tsk2]],WynKl2[Tsk2],1),"")</f>
        <v>2</v>
      </c>
      <c r="N10" s="24">
        <v>7.0497685185185191E-2</v>
      </c>
      <c r="O10" s="24">
        <f>IF(WynKl2[[#This Row],[Tr3]]="","",IFERROR(WynKl2[[#This Row],[Tr3]]*3600*(WynKl2[[#This Row],[Vi]]/(SUMIFS(WynKl2[Vi],WynKl2[Tr3],"&gt;00:00:00")/COUNTA(WynKl2[Tr3])))/3600,""))</f>
        <v>7.2070124259947688E-2</v>
      </c>
      <c r="P10" s="25">
        <v>4</v>
      </c>
      <c r="Q10" s="24">
        <v>4.1875000000000002E-2</v>
      </c>
      <c r="R10" s="24">
        <f>IF(WynKl2[[#This Row],[Tr4]]="","",IFERROR(WynKl2[[#This Row],[Tr4]]*3600*(WynKl2[[#This Row],[Vi]]/(SUMIFS(WynKl2[Vi],WynKl2[Tr4],"&gt;00:00:00")/COUNTA(WynKl2[Tr4])))/3600,""))</f>
        <v>4.2809014869888473E-2</v>
      </c>
      <c r="S10" s="25">
        <f>IFERROR(_xlfn.RANK.EQ(WynKl2[[#This Row],[Tsk4]],WynKl2[Tsk4],1),"")</f>
        <v>5</v>
      </c>
      <c r="T10" s="24">
        <v>3.7916666666666668E-2</v>
      </c>
      <c r="U10" s="24">
        <f>IF(WynKl2[[#This Row],[Tr5]]="","",IFERROR(WynKl2[[#This Row],[Tr5]]*3600*(WynKl2[[#This Row],[Vi]]/(SUMIFS(WynKl2[Vi],WynKl2[Tr5],"&gt;00:00:00")/COUNTA(WynKl2[Tr5])))/3600,""))</f>
        <v>3.8762391573729855E-2</v>
      </c>
      <c r="V10" s="25">
        <f>IFERROR(_xlfn.RANK.EQ(WynKl2[[#This Row],[Tsk5]],WynKl2[Tsk5],1),"")</f>
        <v>3</v>
      </c>
      <c r="W10" s="24">
        <v>2.4930555555555556E-2</v>
      </c>
      <c r="X10" s="24">
        <f>IF(WynKl2[[#This Row],[Tr6]]="","",IFERROR(WynKl2[[#This Row],[Tr6]]*3600*(WynKl2[[#This Row],[Vi]]/(SUMIFS(WynKl2[Vi],WynKl2[Tr6],"&gt;00:00:00")/COUNTA(WynKl2[Tr6])))/3600,""))</f>
        <v>3.182624113475177E-2</v>
      </c>
      <c r="Y10" s="25">
        <f>IFERROR(_xlfn.RANK.EQ(WynKl2[[#This Row],[Tsk6]],WynKl2[Tsk6],1),"")</f>
        <v>3</v>
      </c>
      <c r="Z10" s="24">
        <v>2.4039351851851853E-2</v>
      </c>
      <c r="AA10" s="24">
        <f>IF(WynKl2[[#This Row],[Tr7]]="","",IFERROR(WynKl2[[#This Row],[Tr7]]*3600*(WynKl2[[#This Row],[Vi]]/(SUMIFS(WynKl2[Vi],WynKl2[Tr7],"&gt;00:00:00")/COUNTA(WynKl2[Tr7])))/3600,""))</f>
        <v>2.4575545573454493E-2</v>
      </c>
      <c r="AB10" s="25">
        <f>IFERROR(_xlfn.RANK.EQ(WynKl2[[#This Row],[Tsk7]],WynKl2[Tsk7],1),"")</f>
        <v>2</v>
      </c>
      <c r="AC10" s="24"/>
      <c r="AD10" s="24" t="str">
        <f>IF(WynKl2[[#This Row],[Tr8]]="","",IFERROR(WynKl2[[#This Row],[Tr8]]*3600*(WynKl2[[#This Row],[Vi]]/(SUMIFS(WynKl2[Vi],WynKl2[Tr8],"&gt;00:00:00")/COUNTA(WynKl2[Tr8])))/3600,""))</f>
        <v/>
      </c>
      <c r="AE10" s="25" t="str">
        <f>IFERROR(_xlfn.RANK.EQ(WynKl2[[#This Row],[Tsk8]],WynKl2[Tsk8],1),"")</f>
        <v/>
      </c>
      <c r="AF10" s="24"/>
      <c r="AG10" s="24" t="str">
        <f>IF(WynKl2[[#This Row],[Tr9]]="","",IFERROR(WynKl2[[#This Row],[Tr9]]*3600*(WynKl2[[#This Row],[Vi]]/(SUMIFS(WynKl2[Vi],WynKl2[Tr9],"&gt;00:00:00")/COUNTA(WynKl2[Tr9])))/3600,""))</f>
        <v/>
      </c>
      <c r="AH10" s="25" t="str">
        <f>IFERROR(_xlfn.RANK.EQ(WynKl2[[#This Row],[Tsk9]],WynKl2[Tsk9],1),"")</f>
        <v/>
      </c>
      <c r="AI10" s="25">
        <f>IF(J10="","",IF(ISBLANK(J10),"",SUM(J10,M10,P10,S10,V10,Y10,AB10,AE10,AH10)+SUM(COUNTIF(J10:AH10,"DSQ"),COUNTIF(J10:AH10,"OCS"),COUNTIF(J10:AH10,"DNF"),COUNTIF(J10:AH10,"DNC"),COUNTIF(J10:AH10,"DNE"),COUNTIF(J10:AH10,"RET"),COUNTIF(J10:AH10,"BFD"),COUNTIF(J10:AH10,"UFD"),COUNTIF(J10:AH10,"NSC"),COUNTIF(J10:AH10,"DNS"))*$E$14))</f>
        <v>21</v>
      </c>
      <c r="AJ10" s="21">
        <v>4</v>
      </c>
      <c r="AK10" s="25">
        <f ca="1">IFERROR(IF(lista_startowa!$B9=0,"",lista_startowa!$B9),"")</f>
        <v>3</v>
      </c>
    </row>
    <row r="11" spans="2:37" x14ac:dyDescent="0.25">
      <c r="B11" s="73">
        <f ca="1">IFERROR(VALUE(OFFSET(B11,-1,0)),0)+1</f>
        <v>5</v>
      </c>
      <c r="C11" s="25" t="str">
        <f>IFERROR(IF(lista_startowa!$C34=0,"",lista_startowa!$C34),"")</f>
        <v>22</v>
      </c>
      <c r="D11" s="22" t="str">
        <f>IFERROR(IF(lista_startowa!$D34=0,"",lista_startowa!$D34),"")</f>
        <v>Dariusz Uryszek</v>
      </c>
      <c r="E11" s="25" t="str">
        <f>IFERROR(IF(lista_startowa!$E34=0,"",lista_startowa!$E34),"")</f>
        <v/>
      </c>
      <c r="F11" s="22" t="str">
        <f>IFERROR(IF(lista_startowa!$F34=0,"",lista_startowa!$F34),"")</f>
        <v>SANTA ANNA</v>
      </c>
      <c r="G11" s="22">
        <f>IFERROR(IF(lista_startowa!$G34=0,"",lista_startowa!$G34),"")</f>
        <v>6.43</v>
      </c>
      <c r="H11" s="24">
        <v>3.7476851851851851E-2</v>
      </c>
      <c r="I11" s="24">
        <f>IF(WynKl2[[#This Row],[Tr1]]="","",IFERROR(WynKl2[[#This Row],[Tr1]]*3600*(WynKl2[[#This Row],[Vi]]/(SUMIFS(WynKl2[Vi],WynKl2[Tr1],"&gt;00:00:00")/COUNTA(WynKl2[Tr1])))/3600,""))</f>
        <v>3.7325922770664093E-2</v>
      </c>
      <c r="J11" s="25">
        <f>IFERROR(_xlfn.RANK.EQ(WynKl2[[#This Row],[Tsk1]],WynKl2[Tsk1],1),"")</f>
        <v>5</v>
      </c>
      <c r="K11" s="95">
        <v>5.002314814814815E-2</v>
      </c>
      <c r="L11" s="24">
        <f>IF(WynKl2[[#This Row],[Tr1]]="","",IFERROR(WynKl2[[#This Row],[Tr1]]*3600*(WynKl2[[#This Row],[Vi]]/(SUMIFS(WynKl2[Vi],WynKl2[Tr1],"&gt;00:00:00")/COUNTA(WynKl2[Tr1])))/3600,""))</f>
        <v>3.7325922770664093E-2</v>
      </c>
      <c r="M11" s="25">
        <f>IFERROR(_xlfn.RANK.EQ(WynKl2[[#This Row],[Tsk2]],WynKl2[Tsk2],1),"")</f>
        <v>5</v>
      </c>
      <c r="N11" s="24">
        <v>9.0081018518518519E-2</v>
      </c>
      <c r="O11" s="24">
        <f>IF(WynKl2[[#This Row],[Tr3]]="","",IFERROR(WynKl2[[#This Row],[Tr3]]*3600*(WynKl2[[#This Row],[Vi]]/(SUMIFS(WynKl2[Vi],WynKl2[Tr3],"&gt;00:00:00")/COUNTA(WynKl2[Tr3])))/3600,""))</f>
        <v>8.9718238704162651E-2</v>
      </c>
      <c r="P11" s="25">
        <f>IFERROR(_xlfn.RANK.EQ(WynKl2[[#This Row],[Tsk3]],WynKl2[Tsk3],1),"")</f>
        <v>5</v>
      </c>
      <c r="Q11" s="24">
        <v>4.2048611111111113E-2</v>
      </c>
      <c r="R11" s="24">
        <f>IF(WynKl2[[#This Row],[Tr4]]="","",IFERROR(WynKl2[[#This Row],[Tr4]]*3600*(WynKl2[[#This Row],[Vi]]/(SUMIFS(WynKl2[Vi],WynKl2[Tr4],"&gt;00:00:00")/COUNTA(WynKl2[Tr4])))/3600,""))</f>
        <v>4.1879270360044053E-2</v>
      </c>
      <c r="S11" s="25">
        <f>IFERROR(_xlfn.RANK.EQ(WynKl2[[#This Row],[Tsk4]],WynKl2[Tsk4],1),"")</f>
        <v>4</v>
      </c>
      <c r="T11" s="24">
        <v>4.0150462962962964E-2</v>
      </c>
      <c r="U11" s="24">
        <f>IF(WynKl2[[#This Row],[Tr5]]="","",IFERROR(WynKl2[[#This Row],[Tr5]]*3600*(WynKl2[[#This Row],[Vi]]/(SUMIFS(WynKl2[Vi],WynKl2[Tr5],"&gt;00:00:00")/COUNTA(WynKl2[Tr5])))/3600,""))</f>
        <v>3.9988766550782505E-2</v>
      </c>
      <c r="V11" s="25">
        <f>IFERROR(_xlfn.RANK.EQ(WynKl2[[#This Row],[Tsk5]],WynKl2[Tsk5],1),"")</f>
        <v>5</v>
      </c>
      <c r="W11" s="24" t="s">
        <v>145</v>
      </c>
      <c r="X11" s="24" t="str">
        <f>IF(WynKl2[[#This Row],[Tr6]]="","",IFERROR(WynKl2[[#This Row],[Tr6]]*3600*(WynKl2[[#This Row],[Vi]]/(SUMIFS(WynKl2[Vi],WynKl2[Tr6],"&gt;00:00:00")/COUNTA(WynKl2[Tr6])))/3600,""))</f>
        <v/>
      </c>
      <c r="Y11" s="25" t="str">
        <f>IFERROR(_xlfn.RANK.EQ(WynKl2[[#This Row],[Tsk6]],WynKl2[Tsk6],1),"")</f>
        <v/>
      </c>
      <c r="Z11" s="24">
        <v>3.2071759259259258E-2</v>
      </c>
      <c r="AA11" s="24">
        <f>IF(WynKl2[[#This Row],[Tr7]]="","",IFERROR(WynKl2[[#This Row],[Tr7]]*3600*(WynKl2[[#This Row],[Vi]]/(SUMIFS(WynKl2[Vi],WynKl2[Tr7],"&gt;00:00:00")/COUNTA(WynKl2[Tr7])))/3600,""))</f>
        <v>3.1942597899169305E-2</v>
      </c>
      <c r="AB11" s="25">
        <f>IFERROR(_xlfn.RANK.EQ(WynKl2[[#This Row],[Tsk7]],WynKl2[Tsk7],1),"")</f>
        <v>5</v>
      </c>
      <c r="AC11" s="24"/>
      <c r="AD11" s="24" t="str">
        <f>IF(WynKl2[[#This Row],[Tr8]]="","",IFERROR(WynKl2[[#This Row],[Tr8]]*3600*(WynKl2[[#This Row],[Vi]]/(SUMIFS(WynKl2[Vi],WynKl2[Tr8],"&gt;00:00:00")/COUNTA(WynKl2[Tr8])))/3600,""))</f>
        <v/>
      </c>
      <c r="AE11" s="25" t="str">
        <f>IFERROR(_xlfn.RANK.EQ(WynKl2[[#This Row],[Tsk8]],WynKl2[Tsk8],1),"")</f>
        <v/>
      </c>
      <c r="AF11" s="24"/>
      <c r="AG11" s="24" t="str">
        <f>IF(WynKl2[[#This Row],[Tr9]]="","",IFERROR(WynKl2[[#This Row],[Tr9]]*3600*(WynKl2[[#This Row],[Vi]]/(SUMIFS(WynKl2[Vi],WynKl2[Tr9],"&gt;00:00:00")/COUNTA(WynKl2[Tr9])))/3600,""))</f>
        <v/>
      </c>
      <c r="AH11" s="25" t="str">
        <f>IFERROR(_xlfn.RANK.EQ(WynKl2[[#This Row],[Tsk9]],WynKl2[Tsk9],1),"")</f>
        <v/>
      </c>
      <c r="AI11" s="25">
        <f>IF(J11="","",IF(ISBLANK(J11),"",SUM(J11,M11,P11,S11,V11,Y11,AB11,AE11,AH11)+SUM(COUNTIF(J11:AH11,"DSQ"),COUNTIF(J11:AH11,"OCS"),COUNTIF(J11:AH11,"DNF"),COUNTIF(J11:AH11,"DNC"),COUNTIF(J11:AH11,"DNE"),COUNTIF(J11:AH11,"RET"),COUNTIF(J11:AH11,"BFD"),COUNTIF(J11:AH11,"UFD"),COUNTIF(J11:AH11,"NSC"),COUNTIF(J11:AH11,"DNS"))*$E$14))</f>
        <v>35</v>
      </c>
      <c r="AJ11" s="21">
        <v>5</v>
      </c>
      <c r="AK11" s="25">
        <f ca="1">IFERROR(IF(lista_startowa!$B10=0,"",lista_startowa!$B10),"")</f>
        <v>4</v>
      </c>
    </row>
    <row r="13" spans="2:37" x14ac:dyDescent="0.25">
      <c r="B13" s="103" t="e">
        <f ca="1">IF(SUM(WynKl2[Vi])=0,"DSQ, OCS, DNF, DNC, DNS, DNE, RET, BFD, UFD, NSC = brak zgłoszonych",_xlfn.CONCAT("DSQ, OCS, DNF, DNC, DNS, DNE, RET, BFD, UFD, NSC = ",E14," pkt."))</f>
        <v>#NAME?</v>
      </c>
      <c r="C13" s="103"/>
      <c r="D13" s="103"/>
      <c r="E13" s="103"/>
      <c r="F13" s="2" t="str">
        <f>lista_startowa!F26</f>
        <v>Sędzia Główny</v>
      </c>
      <c r="H13" s="2"/>
      <c r="I13" s="2"/>
      <c r="J13" s="2"/>
      <c r="K13" s="2"/>
      <c r="L13" s="2"/>
      <c r="V13" s="2"/>
      <c r="W13" s="2"/>
      <c r="X13" s="2"/>
    </row>
    <row r="14" spans="2:37" x14ac:dyDescent="0.25">
      <c r="E14" s="78">
        <f>IF(SUM(WynKl2[Vi])=0,"",COUNT(WynKl2[Vi])+1)</f>
        <v>6</v>
      </c>
      <c r="F14" s="2"/>
      <c r="I14" s="5"/>
    </row>
    <row r="15" spans="2:37" x14ac:dyDescent="0.25">
      <c r="F15" s="2" t="str">
        <f>lista_startowa!F27</f>
        <v>Jarek Bazylko</v>
      </c>
      <c r="H15" s="18"/>
      <c r="I15" s="5"/>
      <c r="J15" s="2"/>
      <c r="K15" s="2"/>
      <c r="L15" s="2"/>
      <c r="V15" s="2"/>
      <c r="W15" s="2"/>
      <c r="X15" s="2"/>
    </row>
    <row r="18" spans="8:8" x14ac:dyDescent="0.25">
      <c r="H18" s="17"/>
    </row>
  </sheetData>
  <dataConsolidate link="1"/>
  <mergeCells count="5">
    <mergeCell ref="B13:E13"/>
    <mergeCell ref="B1:AI1"/>
    <mergeCell ref="B2:AI2"/>
    <mergeCell ref="B3:AI3"/>
    <mergeCell ref="H5:AH5"/>
  </mergeCells>
  <printOptions horizontalCentered="1"/>
  <pageMargins left="0.15748031496062992" right="0.15748031496062992" top="0.39370078740157483" bottom="0.35433070866141736" header="0.31496062992125984" footer="0.15748031496062992"/>
  <pageSetup paperSize="9" scale="83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13"/>
  <sheetViews>
    <sheetView zoomScaleNormal="100" zoomScaleSheetLayoutView="100" workbookViewId="0">
      <selection activeCell="L17" sqref="L17"/>
    </sheetView>
  </sheetViews>
  <sheetFormatPr defaultRowHeight="15" x14ac:dyDescent="0.25"/>
  <cols>
    <col min="1" max="1" width="3" style="7" customWidth="1"/>
    <col min="2" max="2" width="7.5703125" style="2" customWidth="1"/>
    <col min="3" max="3" width="20" style="7" customWidth="1"/>
    <col min="4" max="4" width="14.140625" style="7" customWidth="1"/>
    <col min="5" max="5" width="13.140625" style="2" customWidth="1"/>
    <col min="6" max="6" width="31.28515625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tr">
        <f>lista_startowa!B78</f>
        <v>klasa : MICRO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6"/>
    </row>
    <row r="6" spans="2:18" ht="22.5" customHeight="1" x14ac:dyDescent="0.25">
      <c r="B6" s="48" t="s">
        <v>10</v>
      </c>
      <c r="C6" s="49" t="s">
        <v>0</v>
      </c>
      <c r="D6" s="49" t="s">
        <v>1</v>
      </c>
      <c r="E6" s="49" t="s">
        <v>24</v>
      </c>
      <c r="F6" s="49" t="s">
        <v>27</v>
      </c>
      <c r="G6" s="49" t="s">
        <v>2</v>
      </c>
      <c r="H6" s="49" t="s">
        <v>3</v>
      </c>
      <c r="I6" s="49" t="s">
        <v>4</v>
      </c>
      <c r="J6" s="49" t="s">
        <v>5</v>
      </c>
      <c r="K6" s="49" t="s">
        <v>6</v>
      </c>
      <c r="L6" s="49" t="s">
        <v>7</v>
      </c>
      <c r="M6" s="49" t="s">
        <v>8</v>
      </c>
      <c r="N6" s="49" t="s">
        <v>17</v>
      </c>
      <c r="O6" s="49" t="s">
        <v>16</v>
      </c>
      <c r="P6" s="50" t="s">
        <v>9</v>
      </c>
      <c r="Q6" s="51" t="s">
        <v>18</v>
      </c>
      <c r="R6" s="52" t="s">
        <v>19</v>
      </c>
    </row>
    <row r="7" spans="2:18" s="77" customFormat="1" x14ac:dyDescent="0.25">
      <c r="B7" s="53">
        <f ca="1">IFERROR(VALUE(OFFSET(B7,-1,0)),0)+1</f>
        <v>1</v>
      </c>
      <c r="C7" s="54" t="str">
        <f>IFERROR(IF(lista_startowa!$C80=0,"",lista_startowa!$C80),"")</f>
        <v>Jakub Malicki</v>
      </c>
      <c r="D7" s="54" t="str">
        <f>IFERROR(IF(lista_startowa!$D80=0,"",lista_startowa!$D80),"")</f>
        <v>POL 133</v>
      </c>
      <c r="E7" s="55">
        <f>IFERROR(IF(lista_startowa!$E80=0,"",lista_startowa!$E80),"")</f>
        <v>41</v>
      </c>
      <c r="F7" s="56" t="str">
        <f>IFERROR(IF(lista_startowa!$F80=0,"",lista_startowa!$F80),"")</f>
        <v>DUŻE DRZEWO</v>
      </c>
      <c r="G7" s="31">
        <v>1</v>
      </c>
      <c r="H7" s="31">
        <v>1</v>
      </c>
      <c r="I7" s="31" t="s">
        <v>147</v>
      </c>
      <c r="J7" s="31">
        <v>1</v>
      </c>
      <c r="K7" s="31">
        <v>1</v>
      </c>
      <c r="L7" s="31">
        <v>2</v>
      </c>
      <c r="M7" s="31">
        <v>1</v>
      </c>
      <c r="N7" s="55"/>
      <c r="O7" s="55"/>
      <c r="P7" s="55">
        <f>IF(ISBLANK(G7),"",SUM(G7:O7)+(COUNTIF(G7:O7,"DSQ")+COUNTIF(G7:O7,"DNF")+COUNTIF(G7:O7,"OCS")+COUNTIF(G7:O7,"DNC")+COUNTIF(G7:O7,"DNS")+COUNTIF(G7:O7,"DNE")+COUNTIF(G7:O7,"RET")+COUNTIF(G7:O7,"BFD")+COUNTIF(G7:O7,"UFD")+COUNTIF(G7:O7,"NSC"))*$E$12)</f>
        <v>7</v>
      </c>
      <c r="Q7" s="75"/>
      <c r="R7" s="76">
        <f ca="1">lista_startowa!$B80</f>
        <v>1</v>
      </c>
    </row>
    <row r="8" spans="2:18" s="77" customFormat="1" x14ac:dyDescent="0.25">
      <c r="B8" s="53">
        <f ca="1">IFERROR(VALUE(OFFSET(B8,-1,0)),0)+1</f>
        <v>2</v>
      </c>
      <c r="C8" s="54" t="str">
        <f>IFERROR(IF(lista_startowa!$C82=0,"",lista_startowa!$C82),"")</f>
        <v>Roman Czajkowski</v>
      </c>
      <c r="D8" s="54" t="str">
        <f>IFERROR(IF(lista_startowa!$D82=0,"",lista_startowa!$D82),"")</f>
        <v>POL 202</v>
      </c>
      <c r="E8" s="55">
        <f>IFERROR(IF(lista_startowa!$E82=0,"",lista_startowa!$E82),"")</f>
        <v>37</v>
      </c>
      <c r="F8" s="56" t="str">
        <f>IFERROR(IF(lista_startowa!$F82=0,"",lista_startowa!$F82),"")</f>
        <v>SPEEDY</v>
      </c>
      <c r="G8" s="31">
        <v>3</v>
      </c>
      <c r="H8" s="31">
        <v>3</v>
      </c>
      <c r="I8" s="31">
        <v>1</v>
      </c>
      <c r="J8" s="31">
        <v>2</v>
      </c>
      <c r="K8" s="31" t="s">
        <v>148</v>
      </c>
      <c r="L8" s="31">
        <v>1</v>
      </c>
      <c r="M8" s="31">
        <v>3</v>
      </c>
      <c r="N8" s="55"/>
      <c r="O8" s="55"/>
      <c r="P8" s="55">
        <f>IF(ISBLANK(G8),"",SUM(G8:O8)+(COUNTIF(G8:O8,"DSQ")+COUNTIF(G8:O8,"DNF")+COUNTIF(G8:O8,"OCS")+COUNTIF(G8:O8,"DNC")+COUNTIF(G8:O8,"DNS")+COUNTIF(G8:O8,"DNE")+COUNTIF(G8:O8,"RET")+COUNTIF(G8:O8,"BFD")+COUNTIF(G8:O8,"UFD")+COUNTIF(G8:O8,"NSC"))*$E$12)</f>
        <v>13</v>
      </c>
      <c r="Q8" s="75"/>
      <c r="R8" s="76">
        <f ca="1">lista_startowa!$B82</f>
        <v>3</v>
      </c>
    </row>
    <row r="9" spans="2:18" s="77" customFormat="1" x14ac:dyDescent="0.25">
      <c r="B9" s="53">
        <f ca="1">IFERROR(VALUE(OFFSET(B9,-1,0)),0)+1</f>
        <v>3</v>
      </c>
      <c r="C9" s="54" t="str">
        <f>IFERROR(IF(lista_startowa!$C81=0,"",lista_startowa!$C81),"")</f>
        <v>Kamil Jakowanis</v>
      </c>
      <c r="D9" s="54" t="str">
        <f>IFERROR(IF(lista_startowa!$D81=0,"",lista_startowa!$D81),"")</f>
        <v>POL 200</v>
      </c>
      <c r="E9" s="55">
        <f>IFERROR(IF(lista_startowa!$E81=0,"",lista_startowa!$E81),"")</f>
        <v>39</v>
      </c>
      <c r="F9" s="56" t="str">
        <f>IFERROR(IF(lista_startowa!$F81=0,"",lista_startowa!$F81),"")</f>
        <v>DREWNOBUDOWA</v>
      </c>
      <c r="G9" s="31">
        <v>2</v>
      </c>
      <c r="H9" s="31">
        <v>2</v>
      </c>
      <c r="I9" s="31">
        <v>3</v>
      </c>
      <c r="J9" s="31" t="s">
        <v>148</v>
      </c>
      <c r="K9" s="31">
        <v>3</v>
      </c>
      <c r="L9" s="31">
        <v>3</v>
      </c>
      <c r="M9" s="31">
        <v>2</v>
      </c>
      <c r="N9" s="55"/>
      <c r="O9" s="55"/>
      <c r="P9" s="55">
        <f>IF(ISBLANK(G9),"",SUM(G9:O9)+(COUNTIF(G9:O9,"DSQ")+COUNTIF(G9:O9,"DNF")+COUNTIF(G9:O9,"OCS")+COUNTIF(G9:O9,"DNC")+COUNTIF(G9:O9,"DNS")+COUNTIF(G9:O9,"DNE")+COUNTIF(G9:O9,"RET")+COUNTIF(G9:O9,"BFD")+COUNTIF(G9:O9,"UFD")+COUNTIF(G9:O9,"NSC"))*$E$12)</f>
        <v>15</v>
      </c>
      <c r="Q9" s="75"/>
      <c r="R9" s="76">
        <f ca="1">lista_startowa!$B81</f>
        <v>2</v>
      </c>
    </row>
    <row r="11" spans="2:18" x14ac:dyDescent="0.25">
      <c r="B11" s="5" t="str">
        <f>_xlfn.CONCAT("DSQ, OCS, DNF, DNC, DNS, DNE, RET, BFD, UFD, NSC = ",E12," pkt.")</f>
        <v>DSQ, OCS, DNF, DNC, DNS, DNE, RET, BFD, UFD, NSC = 4 pkt.</v>
      </c>
      <c r="D11" s="1"/>
      <c r="E11" s="3"/>
      <c r="F11" s="102" t="str">
        <f>lista_startowa!F26</f>
        <v>Sędzia Główny</v>
      </c>
      <c r="G11" s="102"/>
      <c r="P11" s="2"/>
    </row>
    <row r="12" spans="2:18" x14ac:dyDescent="0.25">
      <c r="E12" s="8">
        <f>ROWS(B8:B10)+1</f>
        <v>4</v>
      </c>
      <c r="P12" s="2"/>
    </row>
    <row r="13" spans="2:18" x14ac:dyDescent="0.25">
      <c r="F13" s="102" t="str">
        <f>lista_startowa!F27</f>
        <v>Jarek Bazylko</v>
      </c>
      <c r="G13" s="102"/>
      <c r="P13" s="2"/>
    </row>
  </sheetData>
  <dataConsolidate link="1"/>
  <mergeCells count="7">
    <mergeCell ref="F13:G13"/>
    <mergeCell ref="B1:P1"/>
    <mergeCell ref="B2:P2"/>
    <mergeCell ref="B3:P3"/>
    <mergeCell ref="G5:O5"/>
    <mergeCell ref="F11:G11"/>
    <mergeCell ref="D4:E4"/>
  </mergeCells>
  <printOptions horizontalCentered="1"/>
  <pageMargins left="0.15748031496062992" right="0.15748031496062992" top="0.39370078740157483" bottom="0.35433070866141736" header="0.31496062992125984" footer="0.15748031496062992"/>
  <pageSetup paperSize="9" scale="95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12"/>
  <sheetViews>
    <sheetView showGridLines="0" zoomScaleNormal="100" zoomScaleSheetLayoutView="100" workbookViewId="0">
      <selection activeCell="F21" sqref="F21"/>
    </sheetView>
  </sheetViews>
  <sheetFormatPr defaultRowHeight="15" x14ac:dyDescent="0.25"/>
  <cols>
    <col min="1" max="1" width="3" style="7" customWidth="1"/>
    <col min="2" max="2" width="7.5703125" style="2" customWidth="1"/>
    <col min="3" max="3" width="22" style="7" customWidth="1"/>
    <col min="4" max="4" width="15.7109375" style="7" hidden="1" customWidth="1"/>
    <col min="5" max="5" width="13" style="2" customWidth="1"/>
    <col min="6" max="6" width="23.42578125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tr">
        <f>lista_startowa!B38</f>
        <v>klasa : T1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8" t="s">
        <v>11</v>
      </c>
      <c r="H5" s="109"/>
      <c r="I5" s="109"/>
      <c r="J5" s="109"/>
      <c r="K5" s="109"/>
      <c r="L5" s="109"/>
      <c r="M5" s="109"/>
      <c r="N5" s="109"/>
      <c r="O5" s="110"/>
      <c r="P5" s="47"/>
    </row>
    <row r="6" spans="2:18" ht="22.5" customHeight="1" x14ac:dyDescent="0.25">
      <c r="B6" s="19" t="s">
        <v>10</v>
      </c>
      <c r="C6" s="19" t="s">
        <v>0</v>
      </c>
      <c r="D6" s="19" t="s">
        <v>1</v>
      </c>
      <c r="E6" s="19" t="s">
        <v>24</v>
      </c>
      <c r="F6" s="19" t="s">
        <v>27</v>
      </c>
      <c r="G6" s="19" t="s">
        <v>2</v>
      </c>
      <c r="H6" s="19" t="s">
        <v>3</v>
      </c>
      <c r="I6" s="19" t="s">
        <v>4</v>
      </c>
      <c r="J6" s="19" t="s">
        <v>5</v>
      </c>
      <c r="K6" s="19" t="s">
        <v>6</v>
      </c>
      <c r="L6" s="19" t="s">
        <v>7</v>
      </c>
      <c r="M6" s="19" t="s">
        <v>8</v>
      </c>
      <c r="N6" s="19" t="s">
        <v>17</v>
      </c>
      <c r="O6" s="19" t="s">
        <v>16</v>
      </c>
      <c r="P6" s="20" t="s">
        <v>9</v>
      </c>
      <c r="Q6" s="34" t="s">
        <v>18</v>
      </c>
      <c r="R6" s="34" t="s">
        <v>19</v>
      </c>
    </row>
    <row r="7" spans="2:18" x14ac:dyDescent="0.25">
      <c r="B7" s="29">
        <f ca="1">IFERROR(VALUE(OFFSET(B7,-1,0)),0)+1</f>
        <v>1</v>
      </c>
      <c r="C7" s="30" t="str">
        <f>IFERROR(IF(lista_startowa!$C40=0,"",lista_startowa!$C40),"")</f>
        <v>Grzegorz Guzowski</v>
      </c>
      <c r="D7" s="30" t="str">
        <f>IFERROR(IF(lista_startowa!$D40=0,"",lista_startowa!$D40),"")</f>
        <v/>
      </c>
      <c r="E7" s="31">
        <f>IFERROR(IF(lista_startowa!$E40=0,"",lista_startowa!$E40),"")</f>
        <v>18</v>
      </c>
      <c r="F7" s="32" t="str">
        <f>IFERROR(IF(lista_startowa!$F40=0,"",lista_startowa!$F40),"")</f>
        <v>LIDA</v>
      </c>
      <c r="G7" s="31" t="s">
        <v>62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/>
      <c r="O7" s="31"/>
      <c r="P7" s="31">
        <f>IF(ISBLANK(G7),"",SUM(G7:O7)+(COUNTIF(G7:O7,"DSQ")+COUNTIF(G7:O7,"DNF")+COUNTIF(G7:O7,"OCS")+COUNTIF(G7:O7,"DNC")+COUNTIF(G7:O7,"DNS")+COUNTIF(G7:O7,"DNE")+COUNTIF(G7:O7,"RET")+COUNTIF(G7:O7,"BFD")+COUNTIF(G7:O7,"UFD")+COUNTIF(G7:O7,"NSC"))*$E$11)</f>
        <v>6</v>
      </c>
      <c r="Q7" s="35"/>
      <c r="R7" s="36">
        <f ca="1">lista_startowa!$B40</f>
        <v>1</v>
      </c>
    </row>
    <row r="8" spans="2:18" x14ac:dyDescent="0.25">
      <c r="B8" s="29">
        <f ca="1">IFERROR(VALUE(OFFSET(B8,-1,0)),0)+1</f>
        <v>2</v>
      </c>
      <c r="C8" s="30" t="str">
        <f>IFERROR(IF(lista_startowa!$C41=0,"",lista_startowa!$C41),"")</f>
        <v>Bartłomiej Michałek</v>
      </c>
      <c r="D8" s="30" t="str">
        <f>IFERROR(IF(lista_startowa!$D41=0,"",lista_startowa!$D41),"")</f>
        <v/>
      </c>
      <c r="E8" s="31">
        <f>IFERROR(IF(lista_startowa!$E41=0,"",lista_startowa!$E41),"")</f>
        <v>17</v>
      </c>
      <c r="F8" s="32" t="str">
        <f>IFERROR(IF(lista_startowa!$F41=0,"",lista_startowa!$F41),"")</f>
        <v>CIVITAS KIELCENSIS</v>
      </c>
      <c r="G8" s="31" t="s">
        <v>147</v>
      </c>
      <c r="H8" s="31">
        <v>2</v>
      </c>
      <c r="I8" s="31">
        <v>2</v>
      </c>
      <c r="J8" s="31">
        <v>2</v>
      </c>
      <c r="K8" s="31">
        <v>2</v>
      </c>
      <c r="L8" s="31">
        <v>2</v>
      </c>
      <c r="M8" s="31">
        <v>2</v>
      </c>
      <c r="N8" s="31"/>
      <c r="O8" s="31"/>
      <c r="P8" s="31">
        <f>IF(ISBLANK(G8),"",SUM(G8:O8)+(COUNTIF(G8:O8,"DSQ")+COUNTIF(G8:O8,"DNF")+COUNTIF(G8:O8,"OCS")+COUNTIF(G8:O8,"DNC")+COUNTIF(G8:O8,"DNS")+COUNTIF(G8:O8,"DNE")+COUNTIF(G8:O8,"RET")+COUNTIF(G8:O8,"BFD")+COUNTIF(G8:O8,"UFD")+COUNTIF(G8:O8,"NSC"))*$E$11)</f>
        <v>12</v>
      </c>
      <c r="Q8" s="35"/>
      <c r="R8" s="36">
        <f ca="1">lista_startowa!$B41</f>
        <v>2</v>
      </c>
    </row>
    <row r="10" spans="2:18" x14ac:dyDescent="0.25">
      <c r="B10" s="5" t="str">
        <f>_xlfn.CONCAT("DSQ, OCS, DNF, DNC, DNS, DNE, RET, BFD, UFD, NSC = ",E11," pkt.")</f>
        <v>DSQ, OCS, DNF, DNC, DNS, DNE, RET, BFD, UFD, NSC = 3 pkt.</v>
      </c>
      <c r="D10" s="1"/>
      <c r="E10" s="3"/>
      <c r="F10" s="102" t="str">
        <f>lista_startowa!F26</f>
        <v>Sędzia Główny</v>
      </c>
      <c r="G10" s="102"/>
      <c r="P10" s="2"/>
    </row>
    <row r="11" spans="2:18" x14ac:dyDescent="0.25">
      <c r="E11" s="8">
        <f>ROWS(B8:B9)+1</f>
        <v>3</v>
      </c>
      <c r="P11" s="2"/>
    </row>
    <row r="12" spans="2:18" x14ac:dyDescent="0.25">
      <c r="F12" s="102" t="str">
        <f>lista_startowa!F27</f>
        <v>Jarek Bazylko</v>
      </c>
      <c r="G12" s="102"/>
      <c r="P12" s="2"/>
    </row>
  </sheetData>
  <dataConsolidate link="1"/>
  <mergeCells count="7">
    <mergeCell ref="B1:P1"/>
    <mergeCell ref="B3:P3"/>
    <mergeCell ref="G5:O5"/>
    <mergeCell ref="F10:G10"/>
    <mergeCell ref="F12:G12"/>
    <mergeCell ref="B2:P2"/>
    <mergeCell ref="D4:E4"/>
  </mergeCells>
  <printOptions horizontalCentered="1"/>
  <pageMargins left="0.15748031496062992" right="0.15748031496062992" top="0.39370078740157483" bottom="0.35433070866141736" header="0.31496062992125984" footer="0.15748031496062992"/>
  <pageSetup paperSize="9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19"/>
  <sheetViews>
    <sheetView showGridLines="0" topLeftCell="C1" zoomScaleNormal="100" zoomScaleSheetLayoutView="100" workbookViewId="0">
      <selection activeCell="P7" sqref="P7"/>
    </sheetView>
  </sheetViews>
  <sheetFormatPr defaultRowHeight="15" x14ac:dyDescent="0.25"/>
  <cols>
    <col min="1" max="1" width="3" style="7" customWidth="1"/>
    <col min="2" max="2" width="7.5703125" style="2" customWidth="1"/>
    <col min="3" max="3" width="22.85546875" style="2" customWidth="1"/>
    <col min="4" max="4" width="16" style="2" customWidth="1"/>
    <col min="5" max="5" width="16.85546875" style="2" customWidth="1"/>
    <col min="6" max="6" width="22" style="2" customWidth="1"/>
    <col min="7" max="15" width="6.5703125" style="7" customWidth="1"/>
    <col min="16" max="16" width="6.42578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tr">
        <f>lista_startowa!B45</f>
        <v>klasa : T2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7"/>
    </row>
    <row r="6" spans="2:18" ht="22.5" customHeight="1" x14ac:dyDescent="0.25">
      <c r="B6" s="19" t="s">
        <v>10</v>
      </c>
      <c r="C6" s="19" t="s">
        <v>0</v>
      </c>
      <c r="D6" s="19" t="s">
        <v>1</v>
      </c>
      <c r="E6" s="19" t="s">
        <v>24</v>
      </c>
      <c r="F6" s="19" t="s">
        <v>27</v>
      </c>
      <c r="G6" s="19" t="s">
        <v>2</v>
      </c>
      <c r="H6" s="19" t="s">
        <v>3</v>
      </c>
      <c r="I6" s="19" t="s">
        <v>4</v>
      </c>
      <c r="J6" s="19" t="s">
        <v>5</v>
      </c>
      <c r="K6" s="19" t="s">
        <v>6</v>
      </c>
      <c r="L6" s="19" t="s">
        <v>7</v>
      </c>
      <c r="M6" s="19" t="s">
        <v>8</v>
      </c>
      <c r="N6" s="19" t="s">
        <v>17</v>
      </c>
      <c r="O6" s="19" t="s">
        <v>16</v>
      </c>
      <c r="P6" s="20" t="s">
        <v>9</v>
      </c>
      <c r="Q6" s="34" t="s">
        <v>18</v>
      </c>
      <c r="R6" s="34" t="s">
        <v>19</v>
      </c>
    </row>
    <row r="7" spans="2:18" x14ac:dyDescent="0.25">
      <c r="B7" s="29">
        <f ca="1">IFERROR(VALUE(OFFSET(B7,-1,0)),0)+1</f>
        <v>1</v>
      </c>
      <c r="C7" s="33" t="str">
        <f>IFERROR(IF(lista_startowa!$C49=0,"",lista_startowa!$C49),"")</f>
        <v>Tomasz Szychowiak</v>
      </c>
      <c r="D7" s="31" t="str">
        <f>IFERROR(IF(lista_startowa!$D49=0,"",lista_startowa!$D49),"")</f>
        <v>POL 70</v>
      </c>
      <c r="E7" s="31">
        <f>IFERROR(IF(lista_startowa!$E49=0,"",lista_startowa!$E49),"")</f>
        <v>40</v>
      </c>
      <c r="F7" s="32" t="str">
        <f>IFERROR(IF(lista_startowa!$F49=0,"",lista_startowa!$F49),"")</f>
        <v/>
      </c>
      <c r="G7" s="31">
        <v>2</v>
      </c>
      <c r="H7" s="31">
        <v>1</v>
      </c>
      <c r="I7" s="31">
        <v>1</v>
      </c>
      <c r="J7" s="31" t="s">
        <v>149</v>
      </c>
      <c r="K7" s="31">
        <v>1</v>
      </c>
      <c r="L7" s="31">
        <v>1</v>
      </c>
      <c r="M7" s="31">
        <v>1</v>
      </c>
      <c r="N7" s="31"/>
      <c r="O7" s="31"/>
      <c r="P7" s="31">
        <f>IF(ISBLANK(G7),"",SUM(G7:O7)+(COUNTIF(G7:O7,"DSQ")+COUNTIF(G7:O7,"DNF")+COUNTIF(G7:O7,"OCS")+COUNTIF(G7:O7,"DNC")+COUNTIF(G7:O7,"DNS")+COUNTIF(G7:O7,"DNE")+COUNTIF(G7:O7,"RET")+COUNTIF(G7:O7,"BFD")+COUNTIF(G7:O7,"UFD")+COUNTIF(G7:O7,"NSC"))*$E$18)</f>
        <v>7</v>
      </c>
      <c r="Q7" s="35">
        <v>1</v>
      </c>
      <c r="R7" s="36">
        <f ca="1">lista_startowa!$B49</f>
        <v>3</v>
      </c>
    </row>
    <row r="8" spans="2:18" x14ac:dyDescent="0.25">
      <c r="B8" s="29">
        <f ca="1">IFERROR(VALUE(OFFSET(B8,-1,0)),0)+1</f>
        <v>2</v>
      </c>
      <c r="C8" s="33" t="str">
        <f>IFERROR(IF(lista_startowa!$C50=0,"",lista_startowa!$C50),"")</f>
        <v>Przemysław Tkacz</v>
      </c>
      <c r="D8" s="31" t="str">
        <f>IFERROR(IF(lista_startowa!$D50=0,"",lista_startowa!$D50),"")</f>
        <v/>
      </c>
      <c r="E8" s="31">
        <f>IFERROR(IF(lista_startowa!$E50=0,"",lista_startowa!$E50),"")</f>
        <v>38</v>
      </c>
      <c r="F8" s="32" t="str">
        <f>IFERROR(IF(lista_startowa!$F50=0,"",lista_startowa!$F50),"")</f>
        <v>RETRAKT</v>
      </c>
      <c r="G8" s="31">
        <v>3</v>
      </c>
      <c r="H8" s="31">
        <v>2</v>
      </c>
      <c r="I8" s="31">
        <v>2</v>
      </c>
      <c r="J8" s="31">
        <v>4</v>
      </c>
      <c r="K8" s="31">
        <v>2</v>
      </c>
      <c r="L8" s="31">
        <v>3</v>
      </c>
      <c r="M8" s="31" t="s">
        <v>150</v>
      </c>
      <c r="N8" s="31"/>
      <c r="O8" s="31"/>
      <c r="P8" s="31">
        <f>IF(ISBLANK(G8),"",SUM(G8:O8)+(COUNTIF(G8:O8,"DSQ")+COUNTIF(G8:O8,"DNF")+COUNTIF(G8:O8,"OCS")+COUNTIF(G8:O8,"DNC")+COUNTIF(G8:O8,"DNS")+COUNTIF(G8:O8,"DNE")+COUNTIF(G8:O8,"RET")+COUNTIF(G8:O8,"BFD")+COUNTIF(G8:O8,"UFD")+COUNTIF(G8:O8,"NSC"))*$E$18)</f>
        <v>16</v>
      </c>
      <c r="Q8" s="35">
        <v>2</v>
      </c>
      <c r="R8" s="36">
        <f ca="1">lista_startowa!$B50</f>
        <v>4</v>
      </c>
    </row>
    <row r="9" spans="2:18" x14ac:dyDescent="0.25">
      <c r="B9" s="29">
        <f ca="1">IFERROR(VALUE(OFFSET(B9,-1,0)),0)+1</f>
        <v>3</v>
      </c>
      <c r="C9" s="33" t="str">
        <f>IFERROR(IF(lista_startowa!$C54=0,"",lista_startowa!$C54),"")</f>
        <v>Maciej Kalinowski</v>
      </c>
      <c r="D9" s="31" t="str">
        <f>IFERROR(IF(lista_startowa!$D54=0,"",lista_startowa!$D54),"")</f>
        <v/>
      </c>
      <c r="E9" s="31">
        <f>IFERROR(IF(lista_startowa!$E54=0,"",lista_startowa!$E54),"")</f>
        <v>45</v>
      </c>
      <c r="F9" s="32" t="str">
        <f>IFERROR(IF(lista_startowa!$F54=0,"",lista_startowa!$F54),"")</f>
        <v>WIR</v>
      </c>
      <c r="G9" s="31">
        <v>5</v>
      </c>
      <c r="H9" s="31">
        <v>3</v>
      </c>
      <c r="I9" s="31">
        <v>4</v>
      </c>
      <c r="J9" s="31">
        <v>1</v>
      </c>
      <c r="K9" s="31">
        <v>3</v>
      </c>
      <c r="L9" s="31">
        <v>4</v>
      </c>
      <c r="M9" s="31" t="s">
        <v>151</v>
      </c>
      <c r="N9" s="31"/>
      <c r="O9" s="31"/>
      <c r="P9" s="31">
        <f>IF(ISBLANK(G9),"",SUM(G9:O9)+(COUNTIF(G9:O9,"DSQ")+COUNTIF(G9:O9,"DNF")+COUNTIF(G9:O9,"OCS")+COUNTIF(G9:O9,"DNC")+COUNTIF(G9:O9,"DNS")+COUNTIF(G9:O9,"DNE")+COUNTIF(G9:O9,"RET")+COUNTIF(G9:O9,"BFD")+COUNTIF(G9:O9,"UFD")+COUNTIF(G9:O9,"NSC"))*$E$18)</f>
        <v>20</v>
      </c>
      <c r="Q9" s="35">
        <v>3</v>
      </c>
      <c r="R9" s="36">
        <f ca="1">lista_startowa!$B54</f>
        <v>8</v>
      </c>
    </row>
    <row r="10" spans="2:18" x14ac:dyDescent="0.25">
      <c r="B10" s="29">
        <f ca="1">IFERROR(VALUE(OFFSET(B10,-1,0)),0)+1</f>
        <v>4</v>
      </c>
      <c r="C10" s="33" t="str">
        <f>IFERROR(IF(lista_startowa!$C51=0,"",lista_startowa!$C51),"")</f>
        <v>Tomasz Wiśniewski</v>
      </c>
      <c r="D10" s="31" t="str">
        <f>IFERROR(IF(lista_startowa!$D51=0,"",lista_startowa!$D51),"")</f>
        <v/>
      </c>
      <c r="E10" s="31">
        <f>IFERROR(IF(lista_startowa!$E51=0,"",lista_startowa!$E51),"")</f>
        <v>36</v>
      </c>
      <c r="F10" s="32" t="str">
        <f>IFERROR(IF(lista_startowa!$F51=0,"",lista_startowa!$F51),"")</f>
        <v>SHREK</v>
      </c>
      <c r="G10" s="31">
        <v>4</v>
      </c>
      <c r="H10" s="31">
        <v>5</v>
      </c>
      <c r="I10" s="31">
        <v>5</v>
      </c>
      <c r="J10" s="31" t="s">
        <v>152</v>
      </c>
      <c r="K10" s="31">
        <v>4</v>
      </c>
      <c r="L10" s="31">
        <v>2</v>
      </c>
      <c r="M10" s="31">
        <v>2</v>
      </c>
      <c r="N10" s="31"/>
      <c r="O10" s="31"/>
      <c r="P10" s="31">
        <f>IF(ISBLANK(G10),"",SUM(G10:O10)+(COUNTIF(G10:O10,"DSQ")+COUNTIF(G10:O10,"DNF")+COUNTIF(G10:O10,"OCS")+COUNTIF(G10:O10,"DNC")+COUNTIF(G10:O10,"DNS")+COUNTIF(G10:O10,"DNE")+COUNTIF(G10:O10,"RET")+COUNTIF(G10:O10,"BFD")+COUNTIF(G10:O10,"UFD")+COUNTIF(G10:O10,"NSC"))*$E$18)</f>
        <v>22</v>
      </c>
      <c r="Q10" s="35">
        <v>6</v>
      </c>
      <c r="R10" s="36">
        <f ca="1">lista_startowa!$B51</f>
        <v>5</v>
      </c>
    </row>
    <row r="11" spans="2:18" x14ac:dyDescent="0.25">
      <c r="B11" s="29">
        <f ca="1">IFERROR(VALUE(OFFSET(B11,-1,0)),0)+1</f>
        <v>5</v>
      </c>
      <c r="C11" s="33" t="str">
        <f>IFERROR(IF(lista_startowa!$C52=0,"",lista_startowa!$C52),"")</f>
        <v>Marek Kudelski</v>
      </c>
      <c r="D11" s="31" t="str">
        <f>IFERROR(IF(lista_startowa!$D52=0,"",lista_startowa!$D52),"")</f>
        <v/>
      </c>
      <c r="E11" s="31">
        <f>IFERROR(IF(lista_startowa!$E52=0,"",lista_startowa!$E52),"")</f>
        <v>35</v>
      </c>
      <c r="F11" s="32" t="str">
        <f>IFERROR(IF(lista_startowa!$F52=0,"",lista_startowa!$F52),"")</f>
        <v>KORMIX</v>
      </c>
      <c r="G11" s="31">
        <v>1</v>
      </c>
      <c r="H11" s="31">
        <v>8</v>
      </c>
      <c r="I11" s="31">
        <v>6</v>
      </c>
      <c r="J11" s="31">
        <v>2</v>
      </c>
      <c r="K11" s="31">
        <v>5</v>
      </c>
      <c r="L11" s="31" t="s">
        <v>153</v>
      </c>
      <c r="M11" s="31">
        <v>3</v>
      </c>
      <c r="N11" s="31"/>
      <c r="O11" s="31"/>
      <c r="P11" s="31">
        <f>IF(ISBLANK(G11),"",SUM(G11:O11)+(COUNTIF(G11:O11,"DSQ")+COUNTIF(G11:O11,"DNF")+COUNTIF(G11:O11,"OCS")+COUNTIF(G11:O11,"DNC")+COUNTIF(G11:O11,"DNS")+COUNTIF(G11:O11,"DNE")+COUNTIF(G11:O11,"RET")+COUNTIF(G11:O11,"BFD")+COUNTIF(G11:O11,"UFD")+COUNTIF(G11:O11,"NSC"))*$E$18)</f>
        <v>25</v>
      </c>
      <c r="Q11" s="35">
        <v>4</v>
      </c>
      <c r="R11" s="36">
        <f ca="1">lista_startowa!$B52</f>
        <v>6</v>
      </c>
    </row>
    <row r="12" spans="2:18" x14ac:dyDescent="0.25">
      <c r="B12" s="29">
        <f ca="1">IFERROR(VALUE(OFFSET(B12,-1,0)),0)+1</f>
        <v>6</v>
      </c>
      <c r="C12" s="33" t="str">
        <f>IFERROR(IF(lista_startowa!$C48=0,"",lista_startowa!$C48),"")</f>
        <v>Marek Kmieć</v>
      </c>
      <c r="D12" s="31" t="str">
        <f>IFERROR(IF(lista_startowa!$D48=0,"",lista_startowa!$D48),"")</f>
        <v/>
      </c>
      <c r="E12" s="31">
        <f>IFERROR(IF(lista_startowa!$E48=0,"",lista_startowa!$E48),"")</f>
        <v>1</v>
      </c>
      <c r="F12" s="32" t="str">
        <f>IFERROR(IF(lista_startowa!$F48=0,"",lista_startowa!$F48),"")</f>
        <v>RAFA</v>
      </c>
      <c r="G12" s="31">
        <v>6</v>
      </c>
      <c r="H12" s="31">
        <v>4</v>
      </c>
      <c r="I12" s="31">
        <v>3</v>
      </c>
      <c r="J12" s="31">
        <v>5</v>
      </c>
      <c r="K12" s="31" t="s">
        <v>152</v>
      </c>
      <c r="L12" s="31">
        <v>6</v>
      </c>
      <c r="M12" s="31">
        <v>4</v>
      </c>
      <c r="N12" s="31"/>
      <c r="O12" s="31"/>
      <c r="P12" s="31">
        <f>IF(ISBLANK(G12),"",SUM(G12:O12)+(COUNTIF(G12:O12,"DSQ")+COUNTIF(G12:O12,"DNF")+COUNTIF(G12:O12,"OCS")+COUNTIF(G12:O12,"DNC")+COUNTIF(G12:O12,"DNS")+COUNTIF(G12:O12,"DNE")+COUNTIF(G12:O12,"RET")+COUNTIF(G12:O12,"BFD")+COUNTIF(G12:O12,"UFD")+COUNTIF(G12:O12,"NSC"))*$E$18)</f>
        <v>28</v>
      </c>
      <c r="Q12" s="35">
        <v>5</v>
      </c>
      <c r="R12" s="36">
        <f ca="1">lista_startowa!$B48</f>
        <v>2</v>
      </c>
    </row>
    <row r="13" spans="2:18" x14ac:dyDescent="0.25">
      <c r="B13" s="29">
        <f ca="1">IFERROR(VALUE(OFFSET(B13,-1,0)),0)+1</f>
        <v>7</v>
      </c>
      <c r="C13" s="33" t="str">
        <f>IFERROR(IF(lista_startowa!$C55=0,"",lista_startowa!$C55),"")</f>
        <v>Marcin Macioszek</v>
      </c>
      <c r="D13" s="31" t="str">
        <f>IFERROR(IF(lista_startowa!$D55=0,"",lista_startowa!$D55),"")</f>
        <v/>
      </c>
      <c r="E13" s="31">
        <f>IFERROR(IF(lista_startowa!$E55=0,"",lista_startowa!$E55),"")</f>
        <v>21</v>
      </c>
      <c r="F13" s="32" t="str">
        <f>IFERROR(IF(lista_startowa!$F55=0,"",lista_startowa!$F55),"")</f>
        <v>RAFA 2 "SZOPENERIA"</v>
      </c>
      <c r="G13" s="31">
        <v>7</v>
      </c>
      <c r="H13" s="31">
        <v>6</v>
      </c>
      <c r="I13" s="31">
        <v>7</v>
      </c>
      <c r="J13" s="31" t="s">
        <v>151</v>
      </c>
      <c r="K13" s="31">
        <v>6</v>
      </c>
      <c r="L13" s="31">
        <v>8</v>
      </c>
      <c r="M13" s="31">
        <v>6</v>
      </c>
      <c r="N13" s="31"/>
      <c r="O13" s="31"/>
      <c r="P13" s="31">
        <f>IF(ISBLANK(G13),"",SUM(G13:O13)+(COUNTIF(G13:O13,"DSQ")+COUNTIF(G13:O13,"DNF")+COUNTIF(G13:O13,"OCS")+COUNTIF(G13:O13,"DNC")+COUNTIF(G13:O13,"DNS")+COUNTIF(G13:O13,"DNE")+COUNTIF(G13:O13,"RET")+COUNTIF(G13:O13,"BFD")+COUNTIF(G13:O13,"UFD")+COUNTIF(G13:O13,"NSC"))*$E$18)</f>
        <v>40</v>
      </c>
      <c r="Q13" s="35">
        <v>7</v>
      </c>
      <c r="R13" s="36">
        <f ca="1">lista_startowa!$B55</f>
        <v>9</v>
      </c>
    </row>
    <row r="14" spans="2:18" x14ac:dyDescent="0.25">
      <c r="B14" s="29">
        <f ca="1">IFERROR(VALUE(OFFSET(B14,-1,0)),0)+1</f>
        <v>8</v>
      </c>
      <c r="C14" s="33" t="s">
        <v>117</v>
      </c>
      <c r="D14" s="31" t="str">
        <f>IFERROR(IF(lista_startowa!$D53=0,"",lista_startowa!$D53),"")</f>
        <v/>
      </c>
      <c r="E14" s="31">
        <v>23</v>
      </c>
      <c r="F14" s="32" t="s">
        <v>118</v>
      </c>
      <c r="G14" s="31">
        <v>9</v>
      </c>
      <c r="H14" s="31">
        <v>7</v>
      </c>
      <c r="I14" s="31" t="s">
        <v>154</v>
      </c>
      <c r="J14" s="31">
        <v>6</v>
      </c>
      <c r="K14" s="31">
        <v>9</v>
      </c>
      <c r="L14" s="31">
        <v>5</v>
      </c>
      <c r="M14" s="31">
        <v>9</v>
      </c>
      <c r="N14" s="31"/>
      <c r="O14" s="31"/>
      <c r="P14" s="31">
        <f>IF(ISBLANK(G14),"",SUM(G14:O14)+(COUNTIF(G14:O14,"DSQ")+COUNTIF(G14:O14,"DNF")+COUNTIF(G14:O14,"OCS")+COUNTIF(G14:O14,"DNC")+COUNTIF(G14:O14,"DNS")+COUNTIF(G14:O14,"DNE")+COUNTIF(G14:O14,"RET")+COUNTIF(G14:O14,"BFD")+COUNTIF(G14:O14,"UFD")+COUNTIF(G14:O14,"NSC"))*$E$18)</f>
        <v>45</v>
      </c>
      <c r="Q14" s="35">
        <v>8</v>
      </c>
      <c r="R14" s="36">
        <f ca="1">lista_startowa!$B53</f>
        <v>7</v>
      </c>
    </row>
    <row r="15" spans="2:18" x14ac:dyDescent="0.25">
      <c r="B15" s="29">
        <f ca="1">IFERROR(VALUE(OFFSET(B15,-1,0)),0)+1</f>
        <v>9</v>
      </c>
      <c r="C15" s="33" t="str">
        <f>IFERROR(IF(lista_startowa!$C47=0,"",lista_startowa!$C47),"")</f>
        <v>Arkadiusz Rajchowicz</v>
      </c>
      <c r="D15" s="31" t="str">
        <f>IFERROR(IF(lista_startowa!$D47=0,"",lista_startowa!$D47),"")</f>
        <v/>
      </c>
      <c r="E15" s="31">
        <f>IFERROR(IF(lista_startowa!$E47=0,"",lista_startowa!$E47),"")</f>
        <v>70</v>
      </c>
      <c r="F15" s="32" t="str">
        <f>IFERROR(IF(lista_startowa!$F47=0,"",lista_startowa!$F47),"")</f>
        <v>WUNSZ</v>
      </c>
      <c r="G15" s="31">
        <v>8</v>
      </c>
      <c r="H15" s="31" t="s">
        <v>153</v>
      </c>
      <c r="I15" s="31">
        <v>9</v>
      </c>
      <c r="J15" s="31">
        <v>9</v>
      </c>
      <c r="K15" s="31">
        <v>8</v>
      </c>
      <c r="L15" s="31">
        <v>7</v>
      </c>
      <c r="M15" s="31">
        <v>7</v>
      </c>
      <c r="N15" s="31"/>
      <c r="O15" s="31"/>
      <c r="P15" s="31">
        <f>IF(ISBLANK(G15),"",SUM(G15:O15)+(COUNTIF(G15:O15,"DSQ")+COUNTIF(G15:O15,"DNF")+COUNTIF(G15:O15,"OCS")+COUNTIF(G15:O15,"DNC")+COUNTIF(G15:O15,"DNS")+COUNTIF(G15:O15,"DNE")+COUNTIF(G15:O15,"RET")+COUNTIF(G15:O15,"BFD")+COUNTIF(G15:O15,"UFD")+COUNTIF(G15:O15,"NSC"))*$E$18)</f>
        <v>48</v>
      </c>
      <c r="Q15" s="35">
        <v>9</v>
      </c>
      <c r="R15" s="36">
        <f ca="1">lista_startowa!$B47</f>
        <v>1</v>
      </c>
    </row>
    <row r="17" spans="2:16" x14ac:dyDescent="0.25">
      <c r="B17" s="5" t="e">
        <f ca="1">_xlfn.CONCAT("DSQ, OCS, DNF, DNC, DNS, DNE, RET, BFD, UFD, NSC = ",E18," pkt.")</f>
        <v>#NAME?</v>
      </c>
      <c r="E17" s="11"/>
      <c r="F17" s="102" t="str">
        <f>lista_startowa!F26</f>
        <v>Sędzia Główny</v>
      </c>
      <c r="G17" s="102"/>
      <c r="P17" s="2"/>
    </row>
    <row r="18" spans="2:16" x14ac:dyDescent="0.25">
      <c r="E18" s="12">
        <f>ROWS(B8:B16)+1</f>
        <v>10</v>
      </c>
      <c r="P18" s="2"/>
    </row>
    <row r="19" spans="2:16" x14ac:dyDescent="0.25">
      <c r="F19" s="102" t="str">
        <f>lista_startowa!F27</f>
        <v>Jarek Bazylko</v>
      </c>
      <c r="G19" s="102"/>
      <c r="P19" s="2"/>
    </row>
  </sheetData>
  <dataConsolidate link="1"/>
  <mergeCells count="7">
    <mergeCell ref="F19:G19"/>
    <mergeCell ref="B1:P1"/>
    <mergeCell ref="B2:P2"/>
    <mergeCell ref="B3:P3"/>
    <mergeCell ref="G5:O5"/>
    <mergeCell ref="F17:G17"/>
    <mergeCell ref="D4:E4"/>
  </mergeCells>
  <printOptions horizontalCentered="1"/>
  <pageMargins left="0.15748031496062992" right="0.15748031496062992" top="0.39370078740157483" bottom="0.35433070866141736" header="0.31496062992125984" footer="0.15748031496062992"/>
  <pageSetup paperSize="9" scale="95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R19"/>
  <sheetViews>
    <sheetView showGridLines="0" zoomScaleNormal="100" zoomScaleSheetLayoutView="100" workbookViewId="0">
      <selection activeCell="H21" sqref="H21"/>
    </sheetView>
  </sheetViews>
  <sheetFormatPr defaultRowHeight="15" x14ac:dyDescent="0.25"/>
  <cols>
    <col min="1" max="1" width="3" style="7" customWidth="1"/>
    <col min="2" max="2" width="7.5703125" style="2" customWidth="1"/>
    <col min="3" max="3" width="18.42578125" style="7" bestFit="1" customWidth="1"/>
    <col min="4" max="4" width="15.5703125" style="7" customWidth="1"/>
    <col min="5" max="5" width="13.7109375" style="2" customWidth="1"/>
    <col min="6" max="6" width="24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tr">
        <f>lista_startowa!B59</f>
        <v>klasa : T3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6"/>
    </row>
    <row r="6" spans="2:18" ht="22.5" customHeight="1" x14ac:dyDescent="0.25">
      <c r="B6" s="39" t="s">
        <v>10</v>
      </c>
      <c r="C6" s="40" t="s">
        <v>0</v>
      </c>
      <c r="D6" s="40" t="s">
        <v>15</v>
      </c>
      <c r="E6" s="40" t="s">
        <v>24</v>
      </c>
      <c r="F6" s="40" t="s">
        <v>27</v>
      </c>
      <c r="G6" s="40" t="s">
        <v>2</v>
      </c>
      <c r="H6" s="40" t="s">
        <v>3</v>
      </c>
      <c r="I6" s="40" t="s">
        <v>4</v>
      </c>
      <c r="J6" s="40" t="s">
        <v>5</v>
      </c>
      <c r="K6" s="40" t="s">
        <v>6</v>
      </c>
      <c r="L6" s="40" t="s">
        <v>7</v>
      </c>
      <c r="M6" s="40" t="s">
        <v>8</v>
      </c>
      <c r="N6" s="40" t="s">
        <v>17</v>
      </c>
      <c r="O6" s="40" t="s">
        <v>16</v>
      </c>
      <c r="P6" s="41" t="s">
        <v>9</v>
      </c>
      <c r="Q6" s="42" t="s">
        <v>18</v>
      </c>
      <c r="R6" s="43" t="s">
        <v>19</v>
      </c>
    </row>
    <row r="7" spans="2:18" x14ac:dyDescent="0.25">
      <c r="B7" s="44">
        <f ca="1">IFERROR(VALUE(OFFSET(B7,-1,0)),0)+1</f>
        <v>1</v>
      </c>
      <c r="C7" s="30" t="str">
        <f>IFERROR(IF(lista_startowa!$C65=0,"",lista_startowa!$C65),"")</f>
        <v>Michał Brzozowski</v>
      </c>
      <c r="D7" s="30" t="str">
        <f>IFERROR(IF(lista_startowa!$D65=0,"",lista_startowa!$D65),"")</f>
        <v/>
      </c>
      <c r="E7" s="31">
        <f>IFERROR(IF(lista_startowa!$E65=0,"",lista_startowa!$E65),"")</f>
        <v>29</v>
      </c>
      <c r="F7" s="32" t="str">
        <f>IFERROR(IF(lista_startowa!$F65=0,"",lista_startowa!$F65),"")</f>
        <v>LEGENDA NR1</v>
      </c>
      <c r="G7" s="31" t="s">
        <v>62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/>
      <c r="O7" s="31"/>
      <c r="P7" s="31">
        <f>IF(ISBLANK(G7),"",SUM(G7:O7)+(COUNTIF(G7:O7,"DSQ")+COUNTIF(G7:O7,"DNF")+COUNTIF(G7:O7,"OCS")+COUNTIF(G7:O7,"DNC")+COUNTIF(G7:O7,"DNS")+COUNTIF(G7:O7,"DNE")+COUNTIF(G7:O7,"RET")+COUNTIF(G7:O7,"BFD")+COUNTIF(G7:O7,"UFD")+COUNTIF(G7:O7,"NSC"))*$E$16)</f>
        <v>6</v>
      </c>
      <c r="Q7" s="35">
        <v>1</v>
      </c>
      <c r="R7" s="45">
        <f ca="1">lista_startowa!$B65</f>
        <v>5</v>
      </c>
    </row>
    <row r="8" spans="2:18" x14ac:dyDescent="0.25">
      <c r="B8" s="44">
        <f ca="1">IFERROR(VALUE(OFFSET(B8,-1,0)),0)+1</f>
        <v>2</v>
      </c>
      <c r="C8" s="30" t="str">
        <f>IFERROR(IF(lista_startowa!$C63=0,"",lista_startowa!$C63),"")</f>
        <v>Mirosław Sztuba</v>
      </c>
      <c r="D8" s="30" t="str">
        <f>IFERROR(IF(lista_startowa!$D63=0,"",lista_startowa!$D63),"")</f>
        <v/>
      </c>
      <c r="E8" s="31">
        <f>IFERROR(IF(lista_startowa!$E63=0,"",lista_startowa!$E63),"")</f>
        <v>24</v>
      </c>
      <c r="F8" s="32" t="str">
        <f>IFERROR(IF(lista_startowa!$F63=0,"",lista_startowa!$F63),"")</f>
        <v>BLACK&amp;WHITE</v>
      </c>
      <c r="G8" s="31" t="s">
        <v>148</v>
      </c>
      <c r="H8" s="31">
        <v>2</v>
      </c>
      <c r="I8" s="31">
        <v>3</v>
      </c>
      <c r="J8" s="31">
        <v>2</v>
      </c>
      <c r="K8" s="31">
        <v>2</v>
      </c>
      <c r="L8" s="31">
        <v>2</v>
      </c>
      <c r="M8" s="31">
        <v>3</v>
      </c>
      <c r="N8" s="31"/>
      <c r="O8" s="31"/>
      <c r="P8" s="31">
        <f>IF(ISBLANK(G8),"",SUM(G8:O8)+(COUNTIF(G8:O8,"DSQ")+COUNTIF(G8:O8,"DNF")+COUNTIF(G8:O8,"OCS")+COUNTIF(G8:O8,"DNC")+COUNTIF(G8:O8,"DNS")+COUNTIF(G8:O8,"DNE")+COUNTIF(G8:O8,"RET")+COUNTIF(G8:O8,"BFD")+COUNTIF(G8:O8,"UFD")+COUNTIF(G8:O8,"NSC"))*$E$16)</f>
        <v>14</v>
      </c>
      <c r="Q8" s="35">
        <v>2</v>
      </c>
      <c r="R8" s="45">
        <f ca="1">lista_startowa!$B63</f>
        <v>3</v>
      </c>
    </row>
    <row r="9" spans="2:18" x14ac:dyDescent="0.25">
      <c r="B9" s="44">
        <f ca="1">IFERROR(VALUE(OFFSET(B9,-1,0)),0)+1</f>
        <v>3</v>
      </c>
      <c r="C9" s="30" t="str">
        <f>IFERROR(IF(lista_startowa!$C66=0,"",lista_startowa!$C66),"")</f>
        <v>Mariusz Augustyniak</v>
      </c>
      <c r="D9" s="30" t="str">
        <f>IFERROR(IF(lista_startowa!$D66=0,"",lista_startowa!$D66),"")</f>
        <v/>
      </c>
      <c r="E9" s="31">
        <f>IFERROR(IF(lista_startowa!$E66=0,"",lista_startowa!$E66),"")</f>
        <v>26</v>
      </c>
      <c r="F9" s="32" t="str">
        <f>IFERROR(IF(lista_startowa!$F66=0,"",lista_startowa!$F66),"")</f>
        <v>PRZYJACIEL WIATR</v>
      </c>
      <c r="G9" s="31">
        <v>2</v>
      </c>
      <c r="H9" s="31">
        <v>3</v>
      </c>
      <c r="I9" s="31">
        <v>2</v>
      </c>
      <c r="J9" s="31">
        <v>3</v>
      </c>
      <c r="K9" s="31">
        <v>5</v>
      </c>
      <c r="L9" s="31" t="s">
        <v>155</v>
      </c>
      <c r="M9" s="31">
        <v>2</v>
      </c>
      <c r="N9" s="31"/>
      <c r="O9" s="31"/>
      <c r="P9" s="31">
        <f>IF(ISBLANK(G9),"",SUM(G9:O9)+(COUNTIF(G9:O9,"DSQ")+COUNTIF(G9:O9,"DNF")+COUNTIF(G9:O9,"OCS")+COUNTIF(G9:O9,"DNC")+COUNTIF(G9:O9,"DNS")+COUNTIF(G9:O9,"DNE")+COUNTIF(G9:O9,"RET")+COUNTIF(G9:O9,"BFD")+COUNTIF(G9:O9,"UFD")+COUNTIF(G9:O9,"NSC"))*$E$16)</f>
        <v>17</v>
      </c>
      <c r="Q9" s="35">
        <v>3</v>
      </c>
      <c r="R9" s="45">
        <f ca="1">lista_startowa!$B66</f>
        <v>6</v>
      </c>
    </row>
    <row r="10" spans="2:18" x14ac:dyDescent="0.25">
      <c r="B10" s="44">
        <f ca="1">IFERROR(VALUE(OFFSET(B10,-1,0)),0)+1</f>
        <v>4</v>
      </c>
      <c r="C10" s="30" t="str">
        <f>IFERROR(IF(lista_startowa!$C64=0,"",lista_startowa!$C64),"")</f>
        <v>Andrzej Brzozowski</v>
      </c>
      <c r="D10" s="30" t="str">
        <f>IFERROR(IF(lista_startowa!$D64=0,"",lista_startowa!$D64),"")</f>
        <v/>
      </c>
      <c r="E10" s="31">
        <f>IFERROR(IF(lista_startowa!$E64=0,"",lista_startowa!$E64),"")</f>
        <v>30</v>
      </c>
      <c r="F10" s="32" t="str">
        <f>IFERROR(IF(lista_startowa!$F64=0,"",lista_startowa!$F64),"")</f>
        <v>LEGENDA GT</v>
      </c>
      <c r="G10" s="31">
        <v>3</v>
      </c>
      <c r="H10" s="31">
        <v>4</v>
      </c>
      <c r="I10" s="31">
        <v>5</v>
      </c>
      <c r="J10" s="31">
        <v>4</v>
      </c>
      <c r="K10" s="31" t="s">
        <v>156</v>
      </c>
      <c r="L10" s="31">
        <v>5</v>
      </c>
      <c r="M10" s="31">
        <v>4</v>
      </c>
      <c r="N10" s="31"/>
      <c r="O10" s="31"/>
      <c r="P10" s="31">
        <f>IF(ISBLANK(G10),"",SUM(G10:O10)+(COUNTIF(G10:O10,"DSQ")+COUNTIF(G10:O10,"DNF")+COUNTIF(G10:O10,"OCS")+COUNTIF(G10:O10,"DNC")+COUNTIF(G10:O10,"DNS")+COUNTIF(G10:O10,"DNE")+COUNTIF(G10:O10,"RET")+COUNTIF(G10:O10,"BFD")+COUNTIF(G10:O10,"UFD")+COUNTIF(G10:O10,"NSC"))*$E$16)</f>
        <v>25</v>
      </c>
      <c r="Q10" s="35">
        <v>5</v>
      </c>
      <c r="R10" s="45">
        <f ca="1">lista_startowa!$B64</f>
        <v>4</v>
      </c>
    </row>
    <row r="11" spans="2:18" x14ac:dyDescent="0.25">
      <c r="B11" s="44">
        <f ca="1">IFERROR(VALUE(OFFSET(B11,-1,0)),0)+1</f>
        <v>5</v>
      </c>
      <c r="C11" s="30" t="str">
        <f>IFERROR(IF(lista_startowa!$C67=0,"",lista_startowa!$C67),"")</f>
        <v>Mirosław Czech</v>
      </c>
      <c r="D11" s="30" t="str">
        <f>IFERROR(IF(lista_startowa!$D67=0,"",lista_startowa!$D67),"")</f>
        <v/>
      </c>
      <c r="E11" s="31">
        <f>IFERROR(IF(lista_startowa!$E67=0,"",lista_startowa!$E67),"")</f>
        <v>20</v>
      </c>
      <c r="F11" s="32" t="str">
        <f>IFERROR(IF(lista_startowa!$F67=0,"",lista_startowa!$F67),"")</f>
        <v>TAŃCZĄCA Z FALAMI</v>
      </c>
      <c r="G11" s="31">
        <v>5</v>
      </c>
      <c r="H11" s="31">
        <v>5</v>
      </c>
      <c r="I11" s="31">
        <v>4</v>
      </c>
      <c r="J11" s="31" t="s">
        <v>152</v>
      </c>
      <c r="K11" s="31">
        <v>3</v>
      </c>
      <c r="L11" s="31">
        <v>3</v>
      </c>
      <c r="M11" s="31">
        <v>6</v>
      </c>
      <c r="N11" s="31"/>
      <c r="O11" s="31"/>
      <c r="P11" s="31">
        <f>IF(ISBLANK(G11),"",SUM(G11:O11)+(COUNTIF(G11:O11,"DSQ")+COUNTIF(G11:O11,"DNF")+COUNTIF(G11:O11,"OCS")+COUNTIF(G11:O11,"DNC")+COUNTIF(G11:O11,"DNS")+COUNTIF(G11:O11,"DNE")+COUNTIF(G11:O11,"RET")+COUNTIF(G11:O11,"BFD")+COUNTIF(G11:O11,"UFD")+COUNTIF(G11:O11,"NSC"))*$E$16)</f>
        <v>26</v>
      </c>
      <c r="Q11" s="35">
        <v>4</v>
      </c>
      <c r="R11" s="45">
        <f ca="1">lista_startowa!$B67</f>
        <v>7</v>
      </c>
    </row>
    <row r="12" spans="2:18" x14ac:dyDescent="0.25">
      <c r="B12" s="44">
        <f ca="1">IFERROR(VALUE(OFFSET(B12,-1,0)),0)+1</f>
        <v>6</v>
      </c>
      <c r="C12" s="30" t="str">
        <f>IFERROR(IF(lista_startowa!$C61=0,"",lista_startowa!$C61),"")</f>
        <v>Marcin Kacprzak</v>
      </c>
      <c r="D12" s="30" t="str">
        <f>IFERROR(IF(lista_startowa!$D61=0,"",lista_startowa!$D61),"")</f>
        <v/>
      </c>
      <c r="E12" s="31">
        <f>IFERROR(IF(lista_startowa!$E61=0,"",lista_startowa!$E61),"")</f>
        <v>50</v>
      </c>
      <c r="F12" s="32" t="str">
        <f>IFERROR(IF(lista_startowa!$F61=0,"",lista_startowa!$F61),"")</f>
        <v>CHIMERA</v>
      </c>
      <c r="G12" s="31" t="s">
        <v>152</v>
      </c>
      <c r="H12" s="31">
        <v>6</v>
      </c>
      <c r="I12" s="31">
        <v>6</v>
      </c>
      <c r="J12" s="31">
        <v>5</v>
      </c>
      <c r="K12" s="31">
        <v>7</v>
      </c>
      <c r="L12" s="31">
        <v>4</v>
      </c>
      <c r="M12" s="31">
        <v>5</v>
      </c>
      <c r="N12" s="31"/>
      <c r="O12" s="31"/>
      <c r="P12" s="31">
        <f>IF(ISBLANK(G12),"",SUM(G12:O12)+(COUNTIF(G12:O12,"DSQ")+COUNTIF(G12:O12,"DNF")+COUNTIF(G12:O12,"OCS")+COUNTIF(G12:O12,"DNC")+COUNTIF(G12:O12,"DNS")+COUNTIF(G12:O12,"DNE")+COUNTIF(G12:O12,"RET")+COUNTIF(G12:O12,"BFD")+COUNTIF(G12:O12,"UFD")+COUNTIF(G12:O12,"NSC"))*$E$16)</f>
        <v>33</v>
      </c>
      <c r="Q12" s="35">
        <v>6</v>
      </c>
      <c r="R12" s="45">
        <f ca="1">lista_startowa!$B61</f>
        <v>1</v>
      </c>
    </row>
    <row r="13" spans="2:18" x14ac:dyDescent="0.25">
      <c r="B13" s="44">
        <f ca="1">IFERROR(VALUE(OFFSET(B13,-1,0)),0)+1</f>
        <v>7</v>
      </c>
      <c r="C13" s="30" t="str">
        <f>IFERROR(IF(lista_startowa!$C62=0,"",lista_startowa!$C62),"")</f>
        <v>Piotr Just</v>
      </c>
      <c r="D13" s="30" t="str">
        <f>IFERROR(IF(lista_startowa!$D62=0,"",lista_startowa!$D62),"")</f>
        <v/>
      </c>
      <c r="E13" s="31">
        <f>IFERROR(IF(lista_startowa!$E62=0,"",lista_startowa!$E62),"")</f>
        <v>42</v>
      </c>
      <c r="F13" s="32" t="str">
        <f>IFERROR(IF(lista_startowa!$F62=0,"",lista_startowa!$F62),"")</f>
        <v>JUSTKA 3</v>
      </c>
      <c r="G13" s="31">
        <v>6</v>
      </c>
      <c r="H13" s="31">
        <v>7</v>
      </c>
      <c r="I13" s="31">
        <v>7</v>
      </c>
      <c r="J13" s="31">
        <v>6</v>
      </c>
      <c r="K13" s="31">
        <v>6</v>
      </c>
      <c r="L13" s="31" t="s">
        <v>157</v>
      </c>
      <c r="M13" s="31" t="s">
        <v>145</v>
      </c>
      <c r="N13" s="31"/>
      <c r="O13" s="31"/>
      <c r="P13" s="31">
        <f>IF(ISBLANK(G13),"",SUM(G13:O13)+(COUNTIF(G13:O13,"DSQ")+COUNTIF(G13:O13,"DNF")+COUNTIF(G13:O13,"OCS")+COUNTIF(G13:O13,"DNC")+COUNTIF(G13:O13,"DNS")+COUNTIF(G13:O13,"DNE")+COUNTIF(G13:O13,"RET")+COUNTIF(G13:O13,"BFD")+COUNTIF(G13:O13,"UFD")+COUNTIF(G13:O13,"NSC"))*$E$16)</f>
        <v>40</v>
      </c>
      <c r="Q13" s="35">
        <v>7</v>
      </c>
      <c r="R13" s="45">
        <f ca="1">lista_startowa!$B62</f>
        <v>2</v>
      </c>
    </row>
    <row r="15" spans="2:18" x14ac:dyDescent="0.25">
      <c r="B15" s="5" t="e">
        <f ca="1">_xlfn.CONCAT("DSQ, OCS, DNF, DNC, DNS, DNE, RET, BFD, UFD, NSC = ",E16," pkt.")</f>
        <v>#NAME?</v>
      </c>
      <c r="D15" s="1"/>
      <c r="E15" s="3"/>
      <c r="F15" s="102" t="str">
        <f>lista_startowa!F26</f>
        <v>Sędzia Główny</v>
      </c>
      <c r="G15" s="102"/>
      <c r="P15" s="2"/>
    </row>
    <row r="16" spans="2:18" x14ac:dyDescent="0.25">
      <c r="E16" s="8">
        <f>ROWS(B8:B14)+1</f>
        <v>8</v>
      </c>
      <c r="P16" s="2"/>
    </row>
    <row r="17" spans="2:16" x14ac:dyDescent="0.25">
      <c r="F17" s="102" t="str">
        <f>lista_startowa!F27</f>
        <v>Jarek Bazylko</v>
      </c>
      <c r="G17" s="102"/>
      <c r="P17" s="2"/>
    </row>
    <row r="19" spans="2:16" x14ac:dyDescent="0.25">
      <c r="B19" s="5"/>
    </row>
  </sheetData>
  <dataConsolidate link="1"/>
  <mergeCells count="7">
    <mergeCell ref="F17:G17"/>
    <mergeCell ref="B1:P1"/>
    <mergeCell ref="B2:P2"/>
    <mergeCell ref="B3:P3"/>
    <mergeCell ref="G5:O5"/>
    <mergeCell ref="F15:G15"/>
    <mergeCell ref="D4:E4"/>
  </mergeCells>
  <printOptions horizontalCentered="1"/>
  <pageMargins left="0.15748031496062992" right="0.15748031496062992" top="0.39370078740157483" bottom="0.35433070866141736" header="0.31496062992125984" footer="0.15748031496062992"/>
  <pageSetup paperSize="9" scale="99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R15"/>
  <sheetViews>
    <sheetView showGridLines="0" zoomScaleNormal="100" zoomScaleSheetLayoutView="100" workbookViewId="0">
      <selection activeCell="O17" sqref="O17"/>
    </sheetView>
  </sheetViews>
  <sheetFormatPr defaultRowHeight="15" x14ac:dyDescent="0.25"/>
  <cols>
    <col min="1" max="1" width="3" style="7" customWidth="1"/>
    <col min="2" max="2" width="7.5703125" style="2" customWidth="1"/>
    <col min="3" max="3" width="20" style="7" customWidth="1"/>
    <col min="4" max="4" width="14.140625" style="7" customWidth="1"/>
    <col min="5" max="5" width="14.85546875" style="2" customWidth="1"/>
    <col min="6" max="6" width="21.28515625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tr">
        <f>lista_startowa!B86</f>
        <v>klasa : T-Sport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6"/>
    </row>
    <row r="6" spans="2:18" ht="22.5" customHeight="1" x14ac:dyDescent="0.25">
      <c r="B6" s="39" t="s">
        <v>10</v>
      </c>
      <c r="C6" s="40" t="s">
        <v>0</v>
      </c>
      <c r="D6" s="40" t="s">
        <v>1</v>
      </c>
      <c r="E6" s="40" t="s">
        <v>24</v>
      </c>
      <c r="F6" s="40" t="s">
        <v>27</v>
      </c>
      <c r="G6" s="40" t="s">
        <v>2</v>
      </c>
      <c r="H6" s="40" t="s">
        <v>3</v>
      </c>
      <c r="I6" s="40" t="s">
        <v>4</v>
      </c>
      <c r="J6" s="40" t="s">
        <v>5</v>
      </c>
      <c r="K6" s="40" t="s">
        <v>6</v>
      </c>
      <c r="L6" s="40" t="s">
        <v>7</v>
      </c>
      <c r="M6" s="40" t="s">
        <v>8</v>
      </c>
      <c r="N6" s="40" t="s">
        <v>17</v>
      </c>
      <c r="O6" s="40" t="s">
        <v>16</v>
      </c>
      <c r="P6" s="41" t="s">
        <v>9</v>
      </c>
      <c r="Q6" s="42" t="s">
        <v>18</v>
      </c>
      <c r="R6" s="43" t="s">
        <v>19</v>
      </c>
    </row>
    <row r="7" spans="2:18" x14ac:dyDescent="0.25">
      <c r="B7" s="44">
        <f ca="1">IFERROR(VALUE(OFFSET(B7,-1,0)),0)+1</f>
        <v>1</v>
      </c>
      <c r="C7" s="33" t="s">
        <v>85</v>
      </c>
      <c r="D7" s="33" t="str">
        <f>IFERROR(IF(lista_startowa!$D88=0,"",lista_startowa!$D88),"")</f>
        <v>POL 133</v>
      </c>
      <c r="E7" s="31">
        <f>IFERROR(IF(lista_startowa!$E88=0,"",lista_startowa!$E88),"")</f>
        <v>41</v>
      </c>
      <c r="F7" s="32" t="str">
        <f>IFERROR(IF(lista_startowa!$F88=0,"",lista_startowa!$F88),"")</f>
        <v>DUŻE DRZEWO</v>
      </c>
      <c r="G7" s="31">
        <v>1</v>
      </c>
      <c r="H7" s="31">
        <v>1</v>
      </c>
      <c r="I7" s="31" t="s">
        <v>147</v>
      </c>
      <c r="J7" s="31">
        <v>1</v>
      </c>
      <c r="K7" s="31">
        <v>1</v>
      </c>
      <c r="L7" s="31">
        <v>2</v>
      </c>
      <c r="M7" s="31">
        <v>1</v>
      </c>
      <c r="N7" s="31"/>
      <c r="O7" s="31"/>
      <c r="P7" s="31">
        <f>IF(ISBLANK(G7),"",SUM(G7:O7)+(COUNTIF(G7:O7,"DSQ")+COUNTIF(G7:O7,"DNF")+COUNTIF(G7:O7,"OCS")+COUNTIF(G7:O7,"DNC")+COUNTIF(G7:O7,"DNS")+COUNTIF(G7:O7,"DNE")+COUNTIF(G7:O7,"RET")+COUNTIF(G7:O7,"BFD")+COUNTIF(G7:O7,"UFD")+COUNTIF(G7:O7,"NSC"))*$E$14)</f>
        <v>7</v>
      </c>
      <c r="Q7" s="35">
        <v>1</v>
      </c>
      <c r="R7" s="45">
        <f ca="1">lista_startowa!$B88</f>
        <v>1</v>
      </c>
    </row>
    <row r="8" spans="2:18" x14ac:dyDescent="0.25">
      <c r="B8" s="44">
        <f ca="1">IFERROR(VALUE(OFFSET(B8,-1,0)),0)+1</f>
        <v>2</v>
      </c>
      <c r="C8" s="33" t="str">
        <f>IFERROR(IF(lista_startowa!$C90=0,"",lista_startowa!$C90),"")</f>
        <v>Roman Czajkowski</v>
      </c>
      <c r="D8" s="33" t="str">
        <f>IFERROR(IF(lista_startowa!$D90=0,"",lista_startowa!$D90),"")</f>
        <v>POL 202</v>
      </c>
      <c r="E8" s="31">
        <f>IFERROR(IF(lista_startowa!$E90=0,"",lista_startowa!$E90),"")</f>
        <v>37</v>
      </c>
      <c r="F8" s="32" t="str">
        <f>IFERROR(IF(lista_startowa!$F90=0,"",lista_startowa!$F90),"")</f>
        <v>SPEEDY</v>
      </c>
      <c r="G8" s="31">
        <v>3</v>
      </c>
      <c r="H8" s="31">
        <v>3</v>
      </c>
      <c r="I8" s="31">
        <v>1</v>
      </c>
      <c r="J8" s="31">
        <v>2</v>
      </c>
      <c r="K8" s="31" t="s">
        <v>148</v>
      </c>
      <c r="L8" s="31">
        <v>1</v>
      </c>
      <c r="M8" s="31">
        <v>3</v>
      </c>
      <c r="N8" s="31"/>
      <c r="O8" s="31"/>
      <c r="P8" s="31">
        <f>IF(ISBLANK(G8),"",SUM(G8:O8)+(COUNTIF(G8:O8,"DSQ")+COUNTIF(G8:O8,"DNF")+COUNTIF(G8:O8,"OCS")+COUNTIF(G8:O8,"DNC")+COUNTIF(G8:O8,"DNS")+COUNTIF(G8:O8,"DNE")+COUNTIF(G8:O8,"RET")+COUNTIF(G8:O8,"BFD")+COUNTIF(G8:O8,"UFD")+COUNTIF(G8:O8,"NSC"))*$E$14)</f>
        <v>13</v>
      </c>
      <c r="Q8" s="35">
        <v>2</v>
      </c>
      <c r="R8" s="45">
        <f ca="1">lista_startowa!$B90</f>
        <v>3</v>
      </c>
    </row>
    <row r="9" spans="2:18" x14ac:dyDescent="0.25">
      <c r="B9" s="44">
        <f ca="1">IFERROR(VALUE(OFFSET(B9,-1,0)),0)+1</f>
        <v>3</v>
      </c>
      <c r="C9" s="33" t="str">
        <f>IFERROR(IF(lista_startowa!$C89=0,"",lista_startowa!$C89),"")</f>
        <v>Kamil Jakowanis</v>
      </c>
      <c r="D9" s="33" t="str">
        <f>IFERROR(IF(lista_startowa!$D89=0,"",lista_startowa!$D89),"")</f>
        <v>POL 200</v>
      </c>
      <c r="E9" s="31">
        <f>IFERROR(IF(lista_startowa!$E89=0,"",lista_startowa!$E89),"")</f>
        <v>39</v>
      </c>
      <c r="F9" s="32" t="str">
        <f>IFERROR(IF(lista_startowa!$F89=0,"",lista_startowa!$F89),"")</f>
        <v>DREWNOBUDOWA</v>
      </c>
      <c r="G9" s="31">
        <v>2</v>
      </c>
      <c r="H9" s="31">
        <v>2</v>
      </c>
      <c r="I9" s="31" t="s">
        <v>148</v>
      </c>
      <c r="J9" s="31">
        <v>4</v>
      </c>
      <c r="K9" s="31">
        <v>3</v>
      </c>
      <c r="L9" s="31">
        <v>3</v>
      </c>
      <c r="M9" s="31">
        <v>2</v>
      </c>
      <c r="N9" s="31"/>
      <c r="O9" s="31"/>
      <c r="P9" s="31">
        <f>IF(ISBLANK(G9),"",SUM(G9:O9)+(COUNTIF(G9:O9,"DSQ")+COUNTIF(G9:O9,"DNF")+COUNTIF(G9:O9,"OCS")+COUNTIF(G9:O9,"DNC")+COUNTIF(G9:O9,"DNS")+COUNTIF(G9:O9,"DNE")+COUNTIF(G9:O9,"RET")+COUNTIF(G9:O9,"BFD")+COUNTIF(G9:O9,"UFD")+COUNTIF(G9:O9,"NSC"))*$E$14)</f>
        <v>16</v>
      </c>
      <c r="Q9" s="35">
        <v>3</v>
      </c>
      <c r="R9" s="45">
        <f ca="1">lista_startowa!$B89</f>
        <v>2</v>
      </c>
    </row>
    <row r="10" spans="2:18" x14ac:dyDescent="0.25">
      <c r="B10" s="44">
        <f ca="1">IFERROR(VALUE(OFFSET(B10,-1,0)),0)+1</f>
        <v>4</v>
      </c>
      <c r="C10" s="33" t="str">
        <f>IFERROR(IF(lista_startowa!$C91=0,"",lista_startowa!$C91),"")</f>
        <v>Radosław Cierpiał</v>
      </c>
      <c r="D10" s="33" t="str">
        <f>IFERROR(IF(lista_startowa!$D91=0,"",lista_startowa!$D91),"")</f>
        <v/>
      </c>
      <c r="E10" s="31">
        <f>IFERROR(IF(lista_startowa!$E91=0,"",lista_startowa!$E91),"")</f>
        <v>19</v>
      </c>
      <c r="F10" s="32" t="str">
        <f>IFERROR(IF(lista_startowa!$F91=0,"",lista_startowa!$F91),"")</f>
        <v>KLEIB</v>
      </c>
      <c r="G10" s="31">
        <v>4</v>
      </c>
      <c r="H10" s="31">
        <v>4</v>
      </c>
      <c r="I10" s="31" t="s">
        <v>148</v>
      </c>
      <c r="J10" s="31">
        <v>3</v>
      </c>
      <c r="K10" s="31">
        <v>2</v>
      </c>
      <c r="L10" s="31">
        <v>4</v>
      </c>
      <c r="M10" s="31">
        <v>4</v>
      </c>
      <c r="N10" s="31"/>
      <c r="O10" s="31"/>
      <c r="P10" s="31">
        <f>IF(ISBLANK(G10),"",SUM(G10:O10)+(COUNTIF(G10:O10,"DSQ")+COUNTIF(G10:O10,"DNF")+COUNTIF(G10:O10,"OCS")+COUNTIF(G10:O10,"DNC")+COUNTIF(G10:O10,"DNS")+COUNTIF(G10:O10,"DNE")+COUNTIF(G10:O10,"RET")+COUNTIF(G10:O10,"BFD")+COUNTIF(G10:O10,"UFD")+COUNTIF(G10:O10,"NSC"))*$E$14)</f>
        <v>21</v>
      </c>
      <c r="Q10" s="35">
        <v>4</v>
      </c>
      <c r="R10" s="45">
        <f ca="1">lista_startowa!$B91</f>
        <v>4</v>
      </c>
    </row>
    <row r="11" spans="2:18" x14ac:dyDescent="0.25">
      <c r="B11" s="44">
        <f ca="1">IFERROR(VALUE(OFFSET(B11,-1,0)),0)+1</f>
        <v>5</v>
      </c>
      <c r="C11" s="33" t="str">
        <f>IFERROR(IF(lista_startowa!$C92=0,"",lista_startowa!$C92),"")</f>
        <v>Dariusz Uryszek</v>
      </c>
      <c r="D11" s="33" t="str">
        <f>IFERROR(IF(lista_startowa!$D92=0,"",lista_startowa!$D92),"")</f>
        <v/>
      </c>
      <c r="E11" s="31">
        <f>IFERROR(IF(lista_startowa!$E92=0,"",lista_startowa!$E92),"")</f>
        <v>22</v>
      </c>
      <c r="F11" s="32" t="str">
        <f>IFERROR(IF(lista_startowa!$F92=0,"",lista_startowa!$F92),"")</f>
        <v>SANTA ANNA</v>
      </c>
      <c r="G11" s="31">
        <v>5</v>
      </c>
      <c r="H11" s="31">
        <v>5</v>
      </c>
      <c r="I11" s="31">
        <v>5</v>
      </c>
      <c r="J11" s="31">
        <v>5</v>
      </c>
      <c r="K11" s="31">
        <v>5</v>
      </c>
      <c r="L11" s="31" t="s">
        <v>157</v>
      </c>
      <c r="M11" s="31">
        <v>5</v>
      </c>
      <c r="N11" s="31"/>
      <c r="O11" s="31"/>
      <c r="P11" s="31">
        <f>IF(ISBLANK(G11),"",SUM(G11:O11)+(COUNTIF(G11:O11,"DSQ")+COUNTIF(G11:O11,"DNF")+COUNTIF(G11:O11,"OCS")+COUNTIF(G11:O11,"DNC")+COUNTIF(G11:O11,"DNS")+COUNTIF(G11:O11,"DNE")+COUNTIF(G11:O11,"RET")+COUNTIF(G11:O11,"BFD")+COUNTIF(G11:O11,"UFD")+COUNTIF(G11:O11,"NSC"))*$E$14)</f>
        <v>30</v>
      </c>
      <c r="Q11" s="35">
        <v>5</v>
      </c>
      <c r="R11" s="45">
        <f ca="1">lista_startowa!$B92</f>
        <v>5</v>
      </c>
    </row>
    <row r="13" spans="2:18" x14ac:dyDescent="0.25">
      <c r="B13" s="5" t="str">
        <f>_xlfn.CONCAT("DSQ, OCS, DNF, DNC, DNS, DNE, RET, BFD, UFD, NSC = ",E14," pkt.")</f>
        <v>DSQ, OCS, DNF, DNC, DNS, DNE, RET, BFD, UFD, NSC = 6 pkt.</v>
      </c>
      <c r="D13" s="1"/>
      <c r="E13" s="3"/>
      <c r="F13" s="102" t="str">
        <f>lista_startowa!F26</f>
        <v>Sędzia Główny</v>
      </c>
      <c r="G13" s="102"/>
      <c r="P13" s="2"/>
    </row>
    <row r="14" spans="2:18" x14ac:dyDescent="0.25">
      <c r="E14" s="8">
        <f>ROWS(B8:B12)+1</f>
        <v>6</v>
      </c>
      <c r="P14" s="2"/>
    </row>
    <row r="15" spans="2:18" x14ac:dyDescent="0.25">
      <c r="F15" s="102" t="str">
        <f>lista_startowa!F27</f>
        <v>Jarek Bazylko</v>
      </c>
      <c r="G15" s="102"/>
      <c r="P15" s="2"/>
    </row>
  </sheetData>
  <dataConsolidate link="1"/>
  <mergeCells count="7">
    <mergeCell ref="F15:G15"/>
    <mergeCell ref="B1:P1"/>
    <mergeCell ref="B2:P2"/>
    <mergeCell ref="B3:P3"/>
    <mergeCell ref="G5:O5"/>
    <mergeCell ref="F13:G13"/>
    <mergeCell ref="D4:E4"/>
  </mergeCells>
  <printOptions horizontalCentered="1"/>
  <pageMargins left="0.15748031496062992" right="0.15748031496062992" top="0.39370078740157483" bottom="0.35433070866141736" header="0.31496062992125984" footer="0.15748031496062992"/>
  <pageSetup paperSize="9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R12"/>
  <sheetViews>
    <sheetView showGridLines="0" zoomScaleNormal="100" zoomScaleSheetLayoutView="100" workbookViewId="0">
      <selection activeCell="O18" sqref="O18"/>
    </sheetView>
  </sheetViews>
  <sheetFormatPr defaultRowHeight="15" x14ac:dyDescent="0.25"/>
  <cols>
    <col min="1" max="1" width="3" style="7" customWidth="1"/>
    <col min="2" max="2" width="7.5703125" style="2" customWidth="1"/>
    <col min="3" max="3" width="20.140625" style="7" customWidth="1"/>
    <col min="4" max="4" width="13.5703125" style="7" customWidth="1"/>
    <col min="5" max="5" width="14.7109375" style="2" customWidth="1"/>
    <col min="6" max="6" width="17.85546875" style="7" customWidth="1"/>
    <col min="7" max="16" width="6.5703125" style="7" customWidth="1"/>
    <col min="17" max="17" width="6.28515625" style="7" customWidth="1"/>
    <col min="18" max="18" width="6.140625" style="7" customWidth="1"/>
    <col min="19" max="16384" width="9.140625" style="7"/>
  </cols>
  <sheetData>
    <row r="1" spans="2:18" ht="23.25" customHeight="1" x14ac:dyDescent="0.25">
      <c r="B1" s="99" t="str">
        <f>lista_startowa!B3</f>
        <v>Anwil CUP Długodystansowe Mistrzostwa Polski klas T i Delphia 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8" ht="15.75" customHeight="1" x14ac:dyDescent="0.25">
      <c r="B2" s="104" t="str">
        <f>lista_startowa!B4</f>
        <v>Włocławek, 30 maja 2024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8" x14ac:dyDescent="0.25">
      <c r="B3" s="102" t="str">
        <f>lista_startowa!B71</f>
        <v>klasa : OPEN 6.3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8" x14ac:dyDescent="0.25">
      <c r="B4" s="5" t="e">
        <f ca="1">_xlfn.CONCAT("data: ",TEXT(NOW(),"rrrr-mm-dd ""godz. ""gg:mm"))</f>
        <v>#NAME?</v>
      </c>
      <c r="C4" s="28"/>
      <c r="D4" s="102" t="str">
        <f>T1T2T3!E4</f>
        <v>wyniki nieoficjalne</v>
      </c>
      <c r="E4" s="102"/>
    </row>
    <row r="5" spans="2:18" x14ac:dyDescent="0.25">
      <c r="G5" s="105" t="s">
        <v>11</v>
      </c>
      <c r="H5" s="106"/>
      <c r="I5" s="106"/>
      <c r="J5" s="106"/>
      <c r="K5" s="106"/>
      <c r="L5" s="106"/>
      <c r="M5" s="106"/>
      <c r="N5" s="106"/>
      <c r="O5" s="107"/>
      <c r="P5" s="46"/>
    </row>
    <row r="6" spans="2:18" ht="22.5" customHeight="1" x14ac:dyDescent="0.25">
      <c r="B6" s="39" t="s">
        <v>10</v>
      </c>
      <c r="C6" s="40" t="s">
        <v>0</v>
      </c>
      <c r="D6" s="40" t="s">
        <v>1</v>
      </c>
      <c r="E6" s="40" t="s">
        <v>24</v>
      </c>
      <c r="F6" s="40" t="s">
        <v>27</v>
      </c>
      <c r="G6" s="40" t="s">
        <v>2</v>
      </c>
      <c r="H6" s="40" t="s">
        <v>3</v>
      </c>
      <c r="I6" s="40" t="s">
        <v>4</v>
      </c>
      <c r="J6" s="40" t="s">
        <v>5</v>
      </c>
      <c r="K6" s="40" t="s">
        <v>6</v>
      </c>
      <c r="L6" s="40" t="s">
        <v>7</v>
      </c>
      <c r="M6" s="40" t="s">
        <v>8</v>
      </c>
      <c r="N6" s="40" t="s">
        <v>17</v>
      </c>
      <c r="O6" s="40" t="s">
        <v>16</v>
      </c>
      <c r="P6" s="41" t="s">
        <v>9</v>
      </c>
      <c r="Q6" s="42" t="s">
        <v>18</v>
      </c>
      <c r="R6" s="43" t="s">
        <v>19</v>
      </c>
    </row>
    <row r="7" spans="2:18" x14ac:dyDescent="0.25">
      <c r="B7" s="44">
        <f ca="1">IFERROR(VALUE(OFFSET(B7,-1,0)),0)+1</f>
        <v>1</v>
      </c>
      <c r="C7" s="62" t="s">
        <v>127</v>
      </c>
      <c r="D7" s="62" t="s">
        <v>129</v>
      </c>
      <c r="E7" s="25">
        <v>28</v>
      </c>
      <c r="F7" s="23" t="s">
        <v>128</v>
      </c>
      <c r="G7" s="31" t="s">
        <v>147</v>
      </c>
      <c r="H7" s="31">
        <v>2</v>
      </c>
      <c r="I7" s="31">
        <v>2</v>
      </c>
      <c r="J7" s="31">
        <v>2</v>
      </c>
      <c r="K7" s="31">
        <v>1</v>
      </c>
      <c r="L7" s="31">
        <v>1</v>
      </c>
      <c r="M7" s="31">
        <v>1</v>
      </c>
      <c r="N7" s="31"/>
      <c r="O7" s="31"/>
      <c r="P7" s="31">
        <f>IF(ISBLANK(G7),"",SUM(G7:O7)+(COUNTIF(G7:O7,"DSQ")+COUNTIF(G7:O7,"DNF")+COUNTIF(G7:O7,"OCS")+COUNTIF(G7:O7,"DNC")+COUNTIF(G7:O7,"DNS")+COUNTIF(G7:O7,"DNE")+COUNTIF(G7:O7,"RET")+COUNTIF(G7:O7,"BFD")+COUNTIF(G7:O7,"UFD")+COUNTIF(G7:O7,"NSC"))*$E$11)</f>
        <v>9</v>
      </c>
      <c r="Q7" s="35"/>
      <c r="R7" s="45">
        <f ca="1">lista_startowa!$B73</f>
        <v>1</v>
      </c>
    </row>
    <row r="8" spans="2:18" ht="15.75" customHeight="1" x14ac:dyDescent="0.25">
      <c r="B8" s="44">
        <f ca="1">IFERROR(VALUE(OFFSET(B8,-1,0)),0)+1</f>
        <v>2</v>
      </c>
      <c r="C8" s="33" t="str">
        <f>IFERROR(IF(lista_startowa!$C74=0,"",lista_startowa!$C74),"")</f>
        <v>Kamil Chara</v>
      </c>
      <c r="D8" s="33" t="str">
        <f>IFERROR(IF(lista_startowa!$D74=0,"",lista_startowa!$D74),"")</f>
        <v/>
      </c>
      <c r="E8" s="31">
        <f>IFERROR(IF(lista_startowa!$E74=0,"",lista_startowa!$E74),"")</f>
        <v>27</v>
      </c>
      <c r="F8" s="32" t="str">
        <f>IFERROR(IF(lista_startowa!$F74=0,"",lista_startowa!$F74),"")</f>
        <v/>
      </c>
      <c r="G8" s="31">
        <v>1</v>
      </c>
      <c r="H8" s="31">
        <v>1</v>
      </c>
      <c r="I8" s="31">
        <v>1</v>
      </c>
      <c r="J8" s="31">
        <v>1</v>
      </c>
      <c r="K8" s="31" t="s">
        <v>158</v>
      </c>
      <c r="L8" s="31" t="s">
        <v>145</v>
      </c>
      <c r="M8" s="31" t="s">
        <v>145</v>
      </c>
      <c r="N8" s="31"/>
      <c r="O8" s="31"/>
      <c r="P8" s="31">
        <f>IF(ISBLANK(G8),"",SUM(G8:O8)+(COUNTIF(G8:O8,"DSQ")+COUNTIF(G8:O8,"DNF")+COUNTIF(G8:O8,"OCS")+COUNTIF(G8:O8,"DNC")+COUNTIF(G8:O8,"DNS")+COUNTIF(G8:O8,"DNE")+COUNTIF(G8:O8,"RET")+COUNTIF(G8:O8,"BFD")+COUNTIF(G8:O8,"UFD")+COUNTIF(G8:O8,"NSC"))*$E$11)</f>
        <v>10</v>
      </c>
      <c r="Q8" s="35"/>
      <c r="R8" s="45">
        <f ca="1">lista_startowa!$B74</f>
        <v>2</v>
      </c>
    </row>
    <row r="9" spans="2:18" ht="15.75" customHeight="1" x14ac:dyDescent="0.25"/>
    <row r="10" spans="2:18" x14ac:dyDescent="0.25">
      <c r="B10" s="5" t="str">
        <f>_xlfn.CONCAT("DSQ, OCS, DNF, DNC, DNS, DNE, RET, BFD, UFD, NSC = ",E11," pkt.")</f>
        <v>DSQ, OCS, DNF, DNC, DNS, DNE, RET, BFD, UFD, NSC = 3 pkt.</v>
      </c>
      <c r="D10" s="1"/>
      <c r="E10" s="3"/>
      <c r="F10" s="102" t="str">
        <f>lista_startowa!F26</f>
        <v>Sędzia Główny</v>
      </c>
      <c r="G10" s="102"/>
      <c r="P10" s="2"/>
    </row>
    <row r="11" spans="2:18" x14ac:dyDescent="0.25">
      <c r="E11" s="8">
        <f>ROWS(B8:B9)+1</f>
        <v>3</v>
      </c>
      <c r="P11" s="2"/>
    </row>
    <row r="12" spans="2:18" x14ac:dyDescent="0.25">
      <c r="F12" s="102" t="str">
        <f>lista_startowa!F27</f>
        <v>Jarek Bazylko</v>
      </c>
      <c r="G12" s="102"/>
      <c r="P12" s="2"/>
    </row>
  </sheetData>
  <dataConsolidate link="1"/>
  <mergeCells count="7">
    <mergeCell ref="F12:G12"/>
    <mergeCell ref="B1:P1"/>
    <mergeCell ref="B2:P2"/>
    <mergeCell ref="B3:P3"/>
    <mergeCell ref="G5:O5"/>
    <mergeCell ref="F10:G10"/>
    <mergeCell ref="D4:E4"/>
  </mergeCells>
  <printOptions horizontalCentered="1"/>
  <pageMargins left="0.15748031496062992" right="0.15748031496062992" top="0.39370078740157483" bottom="0.35433070866141736" header="0.31496062992125984" footer="0.15748031496062992"/>
  <pageSetup paperSize="9" fitToHeight="0" orientation="landscape" r:id="rId1"/>
  <headerFooter>
    <oddFooter>&amp;R&amp;8strona &amp;P z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24</vt:i4>
      </vt:variant>
    </vt:vector>
  </HeadingPairs>
  <TitlesOfParts>
    <vt:vector size="36" baseType="lpstr">
      <vt:lpstr>lista_startowa</vt:lpstr>
      <vt:lpstr>T1T2T3</vt:lpstr>
      <vt:lpstr>TSport</vt:lpstr>
      <vt:lpstr>Delphia 24</vt:lpstr>
      <vt:lpstr>T1</vt:lpstr>
      <vt:lpstr>T2</vt:lpstr>
      <vt:lpstr>T3</vt:lpstr>
      <vt:lpstr>T-Sport</vt:lpstr>
      <vt:lpstr>Open 6.3</vt:lpstr>
      <vt:lpstr>rezerwa 1</vt:lpstr>
      <vt:lpstr>rezerwa 2</vt:lpstr>
      <vt:lpstr>rezerwa 3</vt:lpstr>
      <vt:lpstr>'Delphia 24'!Obszar_wydruku</vt:lpstr>
      <vt:lpstr>lista_startowa!Obszar_wydruku</vt:lpstr>
      <vt:lpstr>'Open 6.3'!Obszar_wydruku</vt:lpstr>
      <vt:lpstr>'rezerwa 1'!Obszar_wydruku</vt:lpstr>
      <vt:lpstr>'rezerwa 2'!Obszar_wydruku</vt:lpstr>
      <vt:lpstr>'rezerwa 3'!Obszar_wydruku</vt:lpstr>
      <vt:lpstr>'T1'!Obszar_wydruku</vt:lpstr>
      <vt:lpstr>T1T2T3!Obszar_wydruku</vt:lpstr>
      <vt:lpstr>'T2'!Obszar_wydruku</vt:lpstr>
      <vt:lpstr>'T3'!Obszar_wydruku</vt:lpstr>
      <vt:lpstr>TSport!Obszar_wydruku</vt:lpstr>
      <vt:lpstr>'T-Sport'!Obszar_wydruku</vt:lpstr>
      <vt:lpstr>'Delphia 24'!Tytuły_wydruku</vt:lpstr>
      <vt:lpstr>lista_startowa!Tytuły_wydruku</vt:lpstr>
      <vt:lpstr>'Open 6.3'!Tytuły_wydruku</vt:lpstr>
      <vt:lpstr>'rezerwa 1'!Tytuły_wydruku</vt:lpstr>
      <vt:lpstr>'rezerwa 2'!Tytuły_wydruku</vt:lpstr>
      <vt:lpstr>'rezerwa 3'!Tytuły_wydruku</vt:lpstr>
      <vt:lpstr>'T1'!Tytuły_wydruku</vt:lpstr>
      <vt:lpstr>T1T2T3!Tytuły_wydruku</vt:lpstr>
      <vt:lpstr>'T2'!Tytuły_wydruku</vt:lpstr>
      <vt:lpstr>'T3'!Tytuły_wydruku</vt:lpstr>
      <vt:lpstr>TSport!Tytuły_wydruku</vt:lpstr>
      <vt:lpstr>'T-Sport'!Tytuły_wydruku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Exner</dc:creator>
  <cp:lastModifiedBy>User</cp:lastModifiedBy>
  <cp:lastPrinted>2024-06-02T12:30:15Z</cp:lastPrinted>
  <dcterms:created xsi:type="dcterms:W3CDTF">2016-06-06T09:58:54Z</dcterms:created>
  <dcterms:modified xsi:type="dcterms:W3CDTF">2024-06-02T12:39:16Z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7ca98947-e877-43fd-b41a-ac83a7eaab31</vt:lpwstr>
  </property>
</Properties>
</file>